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90" windowWidth="15480" windowHeight="10920" activeTab="1"/>
  </bookViews>
  <sheets>
    <sheet name="Лист1" sheetId="1" r:id="rId1"/>
    <sheet name="Лист3" sheetId="3" r:id="rId2"/>
    <sheet name="Лист2" sheetId="4" r:id="rId3"/>
    <sheet name="Лист4" sheetId="5" r:id="rId4"/>
    <sheet name="Лист5" sheetId="6" r:id="rId5"/>
  </sheets>
  <definedNames>
    <definedName name="_xlnm._FilterDatabase" localSheetId="1" hidden="1">Лист3!$W$2:$AM$4</definedName>
    <definedName name="_xlnm.Print_Area" localSheetId="0">Лист1!$A$1:$H$188</definedName>
    <definedName name="_xlnm.Print_Area" localSheetId="1">Лист3!$A$1:$AZ$215</definedName>
  </definedNames>
  <calcPr calcId="145621"/>
</workbook>
</file>

<file path=xl/calcChain.xml><?xml version="1.0" encoding="utf-8"?>
<calcChain xmlns="http://schemas.openxmlformats.org/spreadsheetml/2006/main">
  <c r="R144" i="3" l="1"/>
  <c r="T144" i="3"/>
  <c r="AM191" i="3"/>
  <c r="AM158" i="3"/>
  <c r="AM165" i="3"/>
  <c r="AM193" i="3"/>
  <c r="AM192" i="3"/>
  <c r="AM190" i="3"/>
  <c r="AM189" i="3"/>
  <c r="AM188" i="3"/>
  <c r="AM187" i="3"/>
  <c r="AM186" i="3"/>
  <c r="AM185" i="3"/>
  <c r="AM184" i="3"/>
  <c r="AM183" i="3"/>
  <c r="AM181" i="3"/>
  <c r="AM180" i="3"/>
  <c r="AM179" i="3"/>
  <c r="AM178" i="3"/>
  <c r="AM176" i="3"/>
  <c r="AM175" i="3"/>
  <c r="AM173" i="3"/>
  <c r="AM172" i="3"/>
  <c r="AM171" i="3"/>
  <c r="AM170" i="3"/>
  <c r="AM167" i="3"/>
  <c r="AM164" i="3"/>
  <c r="AM163" i="3"/>
  <c r="AM162" i="3"/>
  <c r="AM161" i="3"/>
  <c r="AM160" i="3"/>
  <c r="AM159" i="3"/>
  <c r="AM157" i="3"/>
  <c r="AM156" i="3"/>
  <c r="AM155" i="3"/>
  <c r="AM154" i="3"/>
  <c r="AM153" i="3"/>
  <c r="AM152" i="3"/>
  <c r="AM151" i="3"/>
  <c r="AM150" i="3"/>
  <c r="AM149" i="3"/>
  <c r="AM147" i="3"/>
  <c r="AM136" i="3" l="1"/>
  <c r="AM142" i="3"/>
  <c r="AM141" i="3"/>
  <c r="AM140" i="3"/>
  <c r="AM138" i="3"/>
  <c r="AM137" i="3"/>
  <c r="AM134" i="3"/>
  <c r="AM131" i="3"/>
  <c r="AM130" i="3"/>
  <c r="AM129" i="3"/>
  <c r="AM128" i="3"/>
  <c r="AM126" i="3"/>
  <c r="AM125" i="3"/>
  <c r="AM124" i="3"/>
  <c r="AM121" i="3"/>
  <c r="AM120" i="3"/>
  <c r="AM119" i="3"/>
  <c r="AM118" i="3"/>
  <c r="AM117" i="3"/>
  <c r="AM116" i="3"/>
  <c r="AM115" i="3"/>
  <c r="AM114" i="3"/>
  <c r="AM113" i="3"/>
  <c r="AM111" i="3"/>
  <c r="AM110" i="3"/>
  <c r="AM109" i="3"/>
  <c r="AM108" i="3"/>
  <c r="AM107" i="3"/>
  <c r="AM105" i="3"/>
  <c r="AM104" i="3"/>
  <c r="AM103" i="3"/>
  <c r="AM102" i="3"/>
  <c r="AM101" i="3"/>
  <c r="AM99" i="3"/>
  <c r="AM98" i="3"/>
  <c r="AM96" i="3"/>
  <c r="AM95" i="3"/>
  <c r="AM94" i="3"/>
  <c r="AM93" i="3"/>
  <c r="AM92" i="3"/>
  <c r="AM91" i="3"/>
  <c r="AM90" i="3"/>
  <c r="AM89" i="3"/>
  <c r="AM88" i="3"/>
  <c r="AM86" i="3"/>
  <c r="AM85" i="3"/>
  <c r="AM84" i="3"/>
  <c r="AM83" i="3"/>
  <c r="AM82" i="3"/>
  <c r="AM81" i="3"/>
  <c r="AM80" i="3"/>
  <c r="AM78" i="3"/>
  <c r="AM76" i="3"/>
  <c r="AM75" i="3"/>
  <c r="AZ74" i="3"/>
  <c r="E203" i="3" l="1"/>
  <c r="E74" i="3"/>
  <c r="W191" i="3" l="1"/>
  <c r="W169" i="3"/>
  <c r="W166" i="3"/>
  <c r="W161" i="3"/>
  <c r="W160" i="3"/>
  <c r="W159" i="3"/>
  <c r="W158" i="3"/>
  <c r="AD171" i="3" l="1"/>
  <c r="W19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AP136" i="3"/>
  <c r="AO136" i="3"/>
  <c r="P76" i="3" l="1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7" i="3"/>
  <c r="P138" i="3"/>
  <c r="P139" i="3"/>
  <c r="P140" i="3"/>
  <c r="P141" i="3"/>
  <c r="P142" i="3"/>
  <c r="P75" i="3"/>
  <c r="P136" i="3"/>
  <c r="AM143" i="3"/>
  <c r="P6" i="3"/>
  <c r="R134" i="3" l="1"/>
  <c r="T134" i="3"/>
  <c r="R130" i="3"/>
  <c r="T130" i="3"/>
  <c r="R118" i="3"/>
  <c r="T118" i="3"/>
  <c r="R106" i="3"/>
  <c r="T106" i="3"/>
  <c r="R102" i="3"/>
  <c r="T102" i="3"/>
  <c r="R94" i="3"/>
  <c r="T94" i="3"/>
  <c r="R90" i="3"/>
  <c r="T90" i="3"/>
  <c r="R86" i="3"/>
  <c r="T86" i="3"/>
  <c r="R82" i="3"/>
  <c r="T82" i="3"/>
  <c r="R136" i="3"/>
  <c r="T136" i="3"/>
  <c r="R140" i="3"/>
  <c r="T140" i="3"/>
  <c r="R135" i="3"/>
  <c r="T135" i="3"/>
  <c r="R131" i="3"/>
  <c r="T131" i="3"/>
  <c r="R127" i="3"/>
  <c r="T127" i="3"/>
  <c r="R123" i="3"/>
  <c r="T123" i="3"/>
  <c r="R119" i="3"/>
  <c r="T119" i="3"/>
  <c r="R115" i="3"/>
  <c r="T115" i="3"/>
  <c r="R111" i="3"/>
  <c r="T111" i="3"/>
  <c r="R107" i="3"/>
  <c r="T107" i="3"/>
  <c r="R103" i="3"/>
  <c r="T103" i="3"/>
  <c r="R99" i="3"/>
  <c r="T99" i="3"/>
  <c r="R95" i="3"/>
  <c r="T95" i="3"/>
  <c r="R91" i="3"/>
  <c r="T91" i="3"/>
  <c r="R87" i="3"/>
  <c r="T87" i="3"/>
  <c r="R83" i="3"/>
  <c r="T83" i="3"/>
  <c r="R79" i="3"/>
  <c r="T79" i="3"/>
  <c r="R75" i="3"/>
  <c r="T75" i="3"/>
  <c r="R126" i="3"/>
  <c r="T126" i="3"/>
  <c r="R114" i="3"/>
  <c r="T114" i="3"/>
  <c r="R98" i="3"/>
  <c r="T98" i="3"/>
  <c r="R78" i="3"/>
  <c r="T78" i="3"/>
  <c r="T6" i="3"/>
  <c r="R6" i="3"/>
  <c r="R142" i="3"/>
  <c r="T142" i="3"/>
  <c r="R138" i="3"/>
  <c r="T138" i="3"/>
  <c r="R133" i="3"/>
  <c r="T133" i="3"/>
  <c r="R129" i="3"/>
  <c r="T129" i="3"/>
  <c r="R125" i="3"/>
  <c r="T125" i="3"/>
  <c r="R121" i="3"/>
  <c r="T121" i="3"/>
  <c r="R117" i="3"/>
  <c r="T117" i="3"/>
  <c r="R113" i="3"/>
  <c r="T113" i="3"/>
  <c r="R109" i="3"/>
  <c r="T109" i="3"/>
  <c r="R105" i="3"/>
  <c r="T105" i="3"/>
  <c r="R101" i="3"/>
  <c r="T101" i="3"/>
  <c r="R97" i="3"/>
  <c r="T97" i="3"/>
  <c r="R93" i="3"/>
  <c r="T93" i="3"/>
  <c r="R89" i="3"/>
  <c r="T89" i="3"/>
  <c r="R85" i="3"/>
  <c r="T85" i="3"/>
  <c r="R81" i="3"/>
  <c r="T81" i="3"/>
  <c r="R77" i="3"/>
  <c r="T77" i="3"/>
  <c r="R139" i="3"/>
  <c r="T139" i="3"/>
  <c r="R122" i="3"/>
  <c r="T122" i="3"/>
  <c r="R110" i="3"/>
  <c r="T110" i="3"/>
  <c r="R141" i="3"/>
  <c r="T141" i="3"/>
  <c r="R137" i="3"/>
  <c r="T137" i="3"/>
  <c r="R132" i="3"/>
  <c r="T132" i="3"/>
  <c r="R128" i="3"/>
  <c r="T128" i="3"/>
  <c r="R124" i="3"/>
  <c r="T124" i="3"/>
  <c r="R120" i="3"/>
  <c r="T120" i="3"/>
  <c r="R116" i="3"/>
  <c r="T116" i="3"/>
  <c r="R112" i="3"/>
  <c r="T112" i="3"/>
  <c r="R108" i="3"/>
  <c r="T108" i="3"/>
  <c r="R104" i="3"/>
  <c r="T104" i="3"/>
  <c r="R100" i="3"/>
  <c r="T100" i="3"/>
  <c r="R96" i="3"/>
  <c r="T96" i="3"/>
  <c r="R92" i="3"/>
  <c r="T92" i="3"/>
  <c r="R88" i="3"/>
  <c r="T88" i="3"/>
  <c r="R84" i="3"/>
  <c r="T84" i="3"/>
  <c r="R80" i="3"/>
  <c r="T80" i="3"/>
  <c r="R76" i="3"/>
  <c r="T76" i="3"/>
  <c r="AY6" i="3"/>
  <c r="BA6" i="3" s="1"/>
  <c r="E200" i="6"/>
  <c r="E202" i="6" s="1"/>
  <c r="H190" i="6"/>
  <c r="I190" i="6"/>
  <c r="K190" i="6"/>
  <c r="L190" i="6"/>
  <c r="G190" i="6"/>
  <c r="M142" i="6"/>
  <c r="N142" i="6" s="1"/>
  <c r="M143" i="6"/>
  <c r="N143" i="6" s="1"/>
  <c r="M144" i="6"/>
  <c r="N144" i="6" s="1"/>
  <c r="M145" i="6"/>
  <c r="N145" i="6" s="1"/>
  <c r="M146" i="6"/>
  <c r="N146" i="6" s="1"/>
  <c r="M147" i="6"/>
  <c r="N147" i="6" s="1"/>
  <c r="M148" i="6"/>
  <c r="N148" i="6" s="1"/>
  <c r="M149" i="6"/>
  <c r="N149" i="6" s="1"/>
  <c r="M150" i="6"/>
  <c r="N150" i="6" s="1"/>
  <c r="M151" i="6"/>
  <c r="N151" i="6" s="1"/>
  <c r="M152" i="6"/>
  <c r="N152" i="6" s="1"/>
  <c r="M153" i="6"/>
  <c r="N153" i="6" s="1"/>
  <c r="M154" i="6"/>
  <c r="N154" i="6" s="1"/>
  <c r="M155" i="6"/>
  <c r="N155" i="6" s="1"/>
  <c r="M156" i="6"/>
  <c r="N156" i="6" s="1"/>
  <c r="M157" i="6"/>
  <c r="N157" i="6" s="1"/>
  <c r="M158" i="6"/>
  <c r="N158" i="6" s="1"/>
  <c r="M159" i="6"/>
  <c r="N159" i="6" s="1"/>
  <c r="M160" i="6"/>
  <c r="N160" i="6" s="1"/>
  <c r="M161" i="6"/>
  <c r="N161" i="6" s="1"/>
  <c r="M162" i="6"/>
  <c r="N162" i="6" s="1"/>
  <c r="M163" i="6"/>
  <c r="N163" i="6" s="1"/>
  <c r="M164" i="6"/>
  <c r="N164" i="6" s="1"/>
  <c r="M165" i="6"/>
  <c r="N165" i="6" s="1"/>
  <c r="M166" i="6"/>
  <c r="N166" i="6" s="1"/>
  <c r="M167" i="6"/>
  <c r="N167" i="6" s="1"/>
  <c r="M168" i="6"/>
  <c r="N168" i="6" s="1"/>
  <c r="M169" i="6"/>
  <c r="N169" i="6" s="1"/>
  <c r="M170" i="6"/>
  <c r="N170" i="6" s="1"/>
  <c r="M171" i="6"/>
  <c r="N171" i="6" s="1"/>
  <c r="M172" i="6"/>
  <c r="N172" i="6" s="1"/>
  <c r="M173" i="6"/>
  <c r="N173" i="6" s="1"/>
  <c r="M174" i="6"/>
  <c r="N174" i="6" s="1"/>
  <c r="M175" i="6"/>
  <c r="N175" i="6" s="1"/>
  <c r="M176" i="6"/>
  <c r="N176" i="6" s="1"/>
  <c r="M177" i="6"/>
  <c r="N177" i="6" s="1"/>
  <c r="M178" i="6"/>
  <c r="N178" i="6" s="1"/>
  <c r="M179" i="6"/>
  <c r="N179" i="6" s="1"/>
  <c r="M180" i="6"/>
  <c r="N180" i="6" s="1"/>
  <c r="M181" i="6"/>
  <c r="N181" i="6" s="1"/>
  <c r="M182" i="6"/>
  <c r="N182" i="6" s="1"/>
  <c r="M183" i="6"/>
  <c r="N183" i="6" s="1"/>
  <c r="M184" i="6"/>
  <c r="N184" i="6" s="1"/>
  <c r="M185" i="6"/>
  <c r="N185" i="6" s="1"/>
  <c r="M186" i="6"/>
  <c r="N186" i="6" s="1"/>
  <c r="M187" i="6"/>
  <c r="N187" i="6" s="1"/>
  <c r="M188" i="6"/>
  <c r="N188" i="6" s="1"/>
  <c r="M189" i="6"/>
  <c r="N189" i="6" s="1"/>
  <c r="M141" i="6"/>
  <c r="N141" i="6" s="1"/>
  <c r="M190" i="6" l="1"/>
  <c r="B190" i="6"/>
  <c r="F190" i="6"/>
  <c r="N190" i="6" s="1"/>
  <c r="J71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P193" i="3"/>
  <c r="E190" i="6"/>
  <c r="T193" i="3" l="1"/>
  <c r="R193" i="3"/>
  <c r="J190" i="6"/>
  <c r="E53" i="6"/>
  <c r="M53" i="6" s="1"/>
  <c r="N53" i="6" s="1"/>
  <c r="J53" i="6" l="1"/>
  <c r="B70" i="6"/>
  <c r="E2" i="6" l="1"/>
  <c r="M2" i="6" s="1"/>
  <c r="N2" i="6" s="1"/>
  <c r="E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J69" i="6" s="1"/>
  <c r="C70" i="6"/>
  <c r="D70" i="6"/>
  <c r="M69" i="6" l="1"/>
  <c r="N69" i="6" s="1"/>
  <c r="M67" i="6"/>
  <c r="N67" i="6" s="1"/>
  <c r="J67" i="6"/>
  <c r="J65" i="6"/>
  <c r="M65" i="6"/>
  <c r="N65" i="6" s="1"/>
  <c r="M63" i="6"/>
  <c r="N63" i="6" s="1"/>
  <c r="J63" i="6"/>
  <c r="M61" i="6"/>
  <c r="N61" i="6" s="1"/>
  <c r="J61" i="6"/>
  <c r="M59" i="6"/>
  <c r="N59" i="6" s="1"/>
  <c r="J59" i="6"/>
  <c r="M57" i="6"/>
  <c r="N57" i="6" s="1"/>
  <c r="J57" i="6"/>
  <c r="M55" i="6"/>
  <c r="N55" i="6" s="1"/>
  <c r="J55" i="6"/>
  <c r="M52" i="6"/>
  <c r="N52" i="6" s="1"/>
  <c r="J52" i="6"/>
  <c r="M50" i="6"/>
  <c r="N50" i="6" s="1"/>
  <c r="J50" i="6"/>
  <c r="M48" i="6"/>
  <c r="N48" i="6" s="1"/>
  <c r="J48" i="6"/>
  <c r="M46" i="6"/>
  <c r="N46" i="6" s="1"/>
  <c r="J46" i="6"/>
  <c r="M44" i="6"/>
  <c r="N44" i="6" s="1"/>
  <c r="J44" i="6"/>
  <c r="M42" i="6"/>
  <c r="N42" i="6" s="1"/>
  <c r="J42" i="6"/>
  <c r="M40" i="6"/>
  <c r="N40" i="6" s="1"/>
  <c r="J40" i="6"/>
  <c r="M38" i="6"/>
  <c r="N38" i="6" s="1"/>
  <c r="J38" i="6"/>
  <c r="M36" i="6"/>
  <c r="N36" i="6" s="1"/>
  <c r="J36" i="6"/>
  <c r="M34" i="6"/>
  <c r="N34" i="6" s="1"/>
  <c r="J34" i="6"/>
  <c r="M32" i="6"/>
  <c r="N32" i="6" s="1"/>
  <c r="J32" i="6"/>
  <c r="M30" i="6"/>
  <c r="N30" i="6" s="1"/>
  <c r="J30" i="6"/>
  <c r="M28" i="6"/>
  <c r="N28" i="6" s="1"/>
  <c r="J28" i="6"/>
  <c r="J26" i="6"/>
  <c r="M26" i="6"/>
  <c r="N26" i="6" s="1"/>
  <c r="M24" i="6"/>
  <c r="N24" i="6" s="1"/>
  <c r="J24" i="6"/>
  <c r="M22" i="6"/>
  <c r="N22" i="6" s="1"/>
  <c r="J22" i="6"/>
  <c r="M20" i="6"/>
  <c r="N20" i="6" s="1"/>
  <c r="J20" i="6"/>
  <c r="M18" i="6"/>
  <c r="N18" i="6" s="1"/>
  <c r="J18" i="6"/>
  <c r="M16" i="6"/>
  <c r="N16" i="6" s="1"/>
  <c r="J16" i="6"/>
  <c r="M14" i="6"/>
  <c r="N14" i="6" s="1"/>
  <c r="J14" i="6"/>
  <c r="M12" i="6"/>
  <c r="N12" i="6" s="1"/>
  <c r="J12" i="6"/>
  <c r="J10" i="6"/>
  <c r="M10" i="6"/>
  <c r="N10" i="6" s="1"/>
  <c r="M8" i="6"/>
  <c r="N8" i="6" s="1"/>
  <c r="J8" i="6"/>
  <c r="M6" i="6"/>
  <c r="N6" i="6" s="1"/>
  <c r="J6" i="6"/>
  <c r="M4" i="6"/>
  <c r="N4" i="6" s="1"/>
  <c r="J4" i="6"/>
  <c r="J2" i="6"/>
  <c r="M68" i="6"/>
  <c r="N68" i="6" s="1"/>
  <c r="J68" i="6"/>
  <c r="J66" i="6"/>
  <c r="M66" i="6"/>
  <c r="N66" i="6" s="1"/>
  <c r="M64" i="6"/>
  <c r="N64" i="6" s="1"/>
  <c r="J64" i="6"/>
  <c r="M62" i="6"/>
  <c r="N62" i="6" s="1"/>
  <c r="J62" i="6"/>
  <c r="M60" i="6"/>
  <c r="N60" i="6" s="1"/>
  <c r="J60" i="6"/>
  <c r="M58" i="6"/>
  <c r="N58" i="6" s="1"/>
  <c r="J58" i="6"/>
  <c r="M56" i="6"/>
  <c r="N56" i="6" s="1"/>
  <c r="J56" i="6"/>
  <c r="M54" i="6"/>
  <c r="N54" i="6" s="1"/>
  <c r="J54" i="6"/>
  <c r="M51" i="6"/>
  <c r="N51" i="6" s="1"/>
  <c r="J51" i="6"/>
  <c r="M49" i="6"/>
  <c r="N49" i="6" s="1"/>
  <c r="J49" i="6"/>
  <c r="M47" i="6"/>
  <c r="N47" i="6" s="1"/>
  <c r="J47" i="6"/>
  <c r="M45" i="6"/>
  <c r="N45" i="6" s="1"/>
  <c r="J45" i="6"/>
  <c r="M43" i="6"/>
  <c r="N43" i="6" s="1"/>
  <c r="J43" i="6"/>
  <c r="M41" i="6"/>
  <c r="N41" i="6" s="1"/>
  <c r="J41" i="6"/>
  <c r="J39" i="6"/>
  <c r="M39" i="6"/>
  <c r="N39" i="6" s="1"/>
  <c r="M37" i="6"/>
  <c r="N37" i="6" s="1"/>
  <c r="J37" i="6"/>
  <c r="M35" i="6"/>
  <c r="N35" i="6" s="1"/>
  <c r="J35" i="6"/>
  <c r="M33" i="6"/>
  <c r="N33" i="6" s="1"/>
  <c r="J33" i="6"/>
  <c r="M31" i="6"/>
  <c r="N31" i="6" s="1"/>
  <c r="J31" i="6"/>
  <c r="M29" i="6"/>
  <c r="N29" i="6" s="1"/>
  <c r="J29" i="6"/>
  <c r="M27" i="6"/>
  <c r="N27" i="6" s="1"/>
  <c r="J27" i="6"/>
  <c r="J25" i="6"/>
  <c r="M25" i="6"/>
  <c r="N25" i="6" s="1"/>
  <c r="J23" i="6"/>
  <c r="M23" i="6"/>
  <c r="N23" i="6" s="1"/>
  <c r="M21" i="6"/>
  <c r="N21" i="6" s="1"/>
  <c r="J21" i="6"/>
  <c r="M19" i="6"/>
  <c r="N19" i="6" s="1"/>
  <c r="J19" i="6"/>
  <c r="M17" i="6"/>
  <c r="N17" i="6" s="1"/>
  <c r="J17" i="6"/>
  <c r="M15" i="6"/>
  <c r="N15" i="6" s="1"/>
  <c r="J15" i="6"/>
  <c r="M13" i="6"/>
  <c r="N13" i="6" s="1"/>
  <c r="J13" i="6"/>
  <c r="M11" i="6"/>
  <c r="N11" i="6" s="1"/>
  <c r="J11" i="6"/>
  <c r="M9" i="6"/>
  <c r="N9" i="6" s="1"/>
  <c r="J9" i="6"/>
  <c r="M7" i="6"/>
  <c r="N7" i="6" s="1"/>
  <c r="J7" i="6"/>
  <c r="M5" i="6"/>
  <c r="N5" i="6" s="1"/>
  <c r="J5" i="6"/>
  <c r="M3" i="6"/>
  <c r="N3" i="6" s="1"/>
  <c r="J3" i="6"/>
  <c r="E70" i="6"/>
  <c r="J70" i="6" s="1"/>
  <c r="G70" i="6"/>
  <c r="F70" i="6"/>
  <c r="P201" i="3"/>
  <c r="AN209" i="3"/>
  <c r="AQ209" i="3"/>
  <c r="AR209" i="3"/>
  <c r="I75" i="3"/>
  <c r="L203" i="3"/>
  <c r="E194" i="3"/>
  <c r="Q208" i="3"/>
  <c r="P207" i="3"/>
  <c r="P205" i="3"/>
  <c r="O193" i="3"/>
  <c r="N193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5" i="3"/>
  <c r="P196" i="3"/>
  <c r="P197" i="3"/>
  <c r="P198" i="3"/>
  <c r="P199" i="3"/>
  <c r="P200" i="3"/>
  <c r="P202" i="3"/>
  <c r="AP194" i="3"/>
  <c r="AO194" i="3"/>
  <c r="AM194" i="3"/>
  <c r="AO206" i="3"/>
  <c r="AP206" i="3"/>
  <c r="AP208" i="3"/>
  <c r="AO208" i="3"/>
  <c r="AP203" i="3"/>
  <c r="AO203" i="3"/>
  <c r="AK194" i="3"/>
  <c r="AK209" i="3" s="1"/>
  <c r="AL194" i="3"/>
  <c r="AL209" i="3" s="1"/>
  <c r="AE194" i="3"/>
  <c r="AE209" i="3" s="1"/>
  <c r="AF194" i="3"/>
  <c r="AF209" i="3" s="1"/>
  <c r="N145" i="3"/>
  <c r="T195" i="3" l="1"/>
  <c r="R195" i="3"/>
  <c r="T181" i="3"/>
  <c r="R181" i="3"/>
  <c r="R169" i="3"/>
  <c r="T169" i="3"/>
  <c r="R153" i="3"/>
  <c r="T153" i="3"/>
  <c r="T201" i="3"/>
  <c r="R201" i="3"/>
  <c r="R198" i="3"/>
  <c r="T198" i="3"/>
  <c r="R192" i="3"/>
  <c r="T192" i="3"/>
  <c r="R188" i="3"/>
  <c r="T188" i="3"/>
  <c r="R184" i="3"/>
  <c r="T184" i="3"/>
  <c r="R180" i="3"/>
  <c r="T180" i="3"/>
  <c r="R176" i="3"/>
  <c r="T176" i="3"/>
  <c r="R172" i="3"/>
  <c r="T172" i="3"/>
  <c r="R168" i="3"/>
  <c r="T168" i="3"/>
  <c r="R164" i="3"/>
  <c r="T164" i="3"/>
  <c r="R160" i="3"/>
  <c r="T160" i="3"/>
  <c r="R156" i="3"/>
  <c r="T156" i="3"/>
  <c r="R152" i="3"/>
  <c r="T152" i="3"/>
  <c r="R148" i="3"/>
  <c r="T148" i="3"/>
  <c r="T199" i="3"/>
  <c r="R199" i="3"/>
  <c r="T177" i="3"/>
  <c r="R177" i="3"/>
  <c r="R161" i="3"/>
  <c r="T161" i="3"/>
  <c r="R149" i="3"/>
  <c r="T149" i="3"/>
  <c r="I207" i="3"/>
  <c r="T207" i="3"/>
  <c r="R207" i="3"/>
  <c r="AO209" i="3"/>
  <c r="T197" i="3"/>
  <c r="R197" i="3"/>
  <c r="T183" i="3"/>
  <c r="R183" i="3"/>
  <c r="R175" i="3"/>
  <c r="T175" i="3"/>
  <c r="R167" i="3"/>
  <c r="T167" i="3"/>
  <c r="R163" i="3"/>
  <c r="T163" i="3"/>
  <c r="R159" i="3"/>
  <c r="T159" i="3"/>
  <c r="R155" i="3"/>
  <c r="T155" i="3"/>
  <c r="R151" i="3"/>
  <c r="T151" i="3"/>
  <c r="R147" i="3"/>
  <c r="T147" i="3"/>
  <c r="T189" i="3"/>
  <c r="R189" i="3"/>
  <c r="T185" i="3"/>
  <c r="R185" i="3"/>
  <c r="R173" i="3"/>
  <c r="T173" i="3"/>
  <c r="R165" i="3"/>
  <c r="T165" i="3"/>
  <c r="R157" i="3"/>
  <c r="T157" i="3"/>
  <c r="R145" i="3"/>
  <c r="T145" i="3"/>
  <c r="R202" i="3"/>
  <c r="T202" i="3"/>
  <c r="T191" i="3"/>
  <c r="R191" i="3"/>
  <c r="T187" i="3"/>
  <c r="R187" i="3"/>
  <c r="T179" i="3"/>
  <c r="R179" i="3"/>
  <c r="R171" i="3"/>
  <c r="T171" i="3"/>
  <c r="R200" i="3"/>
  <c r="T200" i="3"/>
  <c r="R196" i="3"/>
  <c r="T196" i="3"/>
  <c r="R190" i="3"/>
  <c r="T190" i="3"/>
  <c r="R186" i="3"/>
  <c r="T186" i="3"/>
  <c r="R182" i="3"/>
  <c r="T182" i="3"/>
  <c r="R178" i="3"/>
  <c r="T178" i="3"/>
  <c r="R174" i="3"/>
  <c r="T174" i="3"/>
  <c r="R170" i="3"/>
  <c r="T170" i="3"/>
  <c r="R166" i="3"/>
  <c r="T166" i="3"/>
  <c r="R162" i="3"/>
  <c r="T162" i="3"/>
  <c r="R158" i="3"/>
  <c r="T158" i="3"/>
  <c r="R154" i="3"/>
  <c r="T154" i="3"/>
  <c r="R150" i="3"/>
  <c r="T150" i="3"/>
  <c r="R146" i="3"/>
  <c r="T146" i="3"/>
  <c r="P206" i="3"/>
  <c r="T205" i="3"/>
  <c r="R205" i="3"/>
  <c r="N70" i="6"/>
  <c r="P208" i="3"/>
  <c r="P203" i="3"/>
  <c r="AP209" i="3"/>
  <c r="M70" i="6"/>
  <c r="E72" i="6"/>
  <c r="J72" i="6" s="1"/>
  <c r="I145" i="3"/>
  <c r="F145" i="3" s="1"/>
  <c r="P143" i="3"/>
  <c r="O143" i="3"/>
  <c r="K136" i="3"/>
  <c r="H136" i="3" s="1"/>
  <c r="J136" i="3"/>
  <c r="G136" i="3" s="1"/>
  <c r="I76" i="3"/>
  <c r="F76" i="3" s="1"/>
  <c r="I77" i="3"/>
  <c r="F77" i="3" s="1"/>
  <c r="I78" i="3"/>
  <c r="F78" i="3" s="1"/>
  <c r="I79" i="3"/>
  <c r="F79" i="3" s="1"/>
  <c r="I80" i="3"/>
  <c r="F80" i="3" s="1"/>
  <c r="I81" i="3"/>
  <c r="F81" i="3" s="1"/>
  <c r="I82" i="3"/>
  <c r="F82" i="3" s="1"/>
  <c r="I83" i="3"/>
  <c r="F83" i="3" s="1"/>
  <c r="I84" i="3"/>
  <c r="F84" i="3" s="1"/>
  <c r="I85" i="3"/>
  <c r="F85" i="3" s="1"/>
  <c r="I86" i="3"/>
  <c r="F86" i="3" s="1"/>
  <c r="I87" i="3"/>
  <c r="F87" i="3" s="1"/>
  <c r="I88" i="3"/>
  <c r="F88" i="3" s="1"/>
  <c r="I89" i="3"/>
  <c r="F89" i="3" s="1"/>
  <c r="I90" i="3"/>
  <c r="F90" i="3" s="1"/>
  <c r="I91" i="3"/>
  <c r="F91" i="3" s="1"/>
  <c r="I92" i="3"/>
  <c r="F92" i="3" s="1"/>
  <c r="I93" i="3"/>
  <c r="F93" i="3" s="1"/>
  <c r="I94" i="3"/>
  <c r="F94" i="3" s="1"/>
  <c r="I95" i="3"/>
  <c r="F95" i="3" s="1"/>
  <c r="I96" i="3"/>
  <c r="F96" i="3" s="1"/>
  <c r="I97" i="3"/>
  <c r="F97" i="3" s="1"/>
  <c r="I98" i="3"/>
  <c r="F98" i="3" s="1"/>
  <c r="I99" i="3"/>
  <c r="F99" i="3" s="1"/>
  <c r="I100" i="3"/>
  <c r="F100" i="3" s="1"/>
  <c r="I101" i="3"/>
  <c r="F101" i="3" s="1"/>
  <c r="I102" i="3"/>
  <c r="F102" i="3" s="1"/>
  <c r="I103" i="3"/>
  <c r="F103" i="3" s="1"/>
  <c r="I104" i="3"/>
  <c r="F104" i="3" s="1"/>
  <c r="I105" i="3"/>
  <c r="F105" i="3" s="1"/>
  <c r="I106" i="3"/>
  <c r="F106" i="3" s="1"/>
  <c r="I107" i="3"/>
  <c r="F107" i="3" s="1"/>
  <c r="I108" i="3"/>
  <c r="F108" i="3" s="1"/>
  <c r="I109" i="3"/>
  <c r="F109" i="3" s="1"/>
  <c r="I110" i="3"/>
  <c r="F110" i="3" s="1"/>
  <c r="I111" i="3"/>
  <c r="F111" i="3" s="1"/>
  <c r="I112" i="3"/>
  <c r="F112" i="3" s="1"/>
  <c r="I113" i="3"/>
  <c r="F113" i="3" s="1"/>
  <c r="I114" i="3"/>
  <c r="F114" i="3" s="1"/>
  <c r="I115" i="3"/>
  <c r="F115" i="3" s="1"/>
  <c r="I116" i="3"/>
  <c r="F116" i="3" s="1"/>
  <c r="I117" i="3"/>
  <c r="F117" i="3" s="1"/>
  <c r="I118" i="3"/>
  <c r="F118" i="3" s="1"/>
  <c r="I119" i="3"/>
  <c r="F119" i="3" s="1"/>
  <c r="I120" i="3"/>
  <c r="F120" i="3" s="1"/>
  <c r="I121" i="3"/>
  <c r="F121" i="3" s="1"/>
  <c r="I122" i="3"/>
  <c r="F122" i="3" s="1"/>
  <c r="I123" i="3"/>
  <c r="F123" i="3" s="1"/>
  <c r="I124" i="3"/>
  <c r="F124" i="3" s="1"/>
  <c r="I125" i="3"/>
  <c r="F125" i="3" s="1"/>
  <c r="I126" i="3"/>
  <c r="F126" i="3" s="1"/>
  <c r="I127" i="3"/>
  <c r="F127" i="3" s="1"/>
  <c r="I128" i="3"/>
  <c r="F128" i="3" s="1"/>
  <c r="I129" i="3"/>
  <c r="F129" i="3" s="1"/>
  <c r="I130" i="3"/>
  <c r="F130" i="3" s="1"/>
  <c r="I131" i="3"/>
  <c r="F131" i="3" s="1"/>
  <c r="I132" i="3"/>
  <c r="F132" i="3" s="1"/>
  <c r="I133" i="3"/>
  <c r="F133" i="3" s="1"/>
  <c r="I134" i="3"/>
  <c r="F134" i="3" s="1"/>
  <c r="I135" i="3"/>
  <c r="F135" i="3" s="1"/>
  <c r="I136" i="3"/>
  <c r="F136" i="3" s="1"/>
  <c r="I137" i="3"/>
  <c r="F137" i="3" s="1"/>
  <c r="I138" i="3"/>
  <c r="F138" i="3" s="1"/>
  <c r="I139" i="3"/>
  <c r="F139" i="3" s="1"/>
  <c r="I140" i="3"/>
  <c r="F140" i="3" s="1"/>
  <c r="I141" i="3"/>
  <c r="F141" i="3" s="1"/>
  <c r="I142" i="3"/>
  <c r="F142" i="3" s="1"/>
  <c r="F75" i="3"/>
  <c r="AG74" i="3"/>
  <c r="AH74" i="3"/>
  <c r="AI74" i="3"/>
  <c r="U74" i="3"/>
  <c r="U209" i="3" s="1"/>
  <c r="V74" i="3"/>
  <c r="W74" i="3"/>
  <c r="X74" i="3"/>
  <c r="Y74" i="3"/>
  <c r="E143" i="3"/>
  <c r="E209" i="3" s="1"/>
  <c r="M143" i="3"/>
  <c r="N143" i="3"/>
  <c r="L143" i="3"/>
  <c r="J6" i="3"/>
  <c r="R143" i="3" l="1"/>
  <c r="T143" i="3"/>
  <c r="T203" i="3"/>
  <c r="R203" i="3"/>
  <c r="R208" i="3"/>
  <c r="T208" i="3"/>
  <c r="R206" i="3"/>
  <c r="T206" i="3"/>
  <c r="I143" i="3"/>
  <c r="I6" i="3"/>
  <c r="F6" i="3" l="1"/>
  <c r="K83" i="3"/>
  <c r="H83" i="3" s="1"/>
  <c r="J83" i="3"/>
  <c r="G83" i="3" s="1"/>
  <c r="K87" i="3"/>
  <c r="H87" i="3" s="1"/>
  <c r="J87" i="3"/>
  <c r="G87" i="3" s="1"/>
  <c r="J90" i="3"/>
  <c r="G90" i="3" s="1"/>
  <c r="K90" i="3"/>
  <c r="H90" i="3" s="1"/>
  <c r="J96" i="3"/>
  <c r="G96" i="3" s="1"/>
  <c r="K96" i="3"/>
  <c r="H96" i="3" s="1"/>
  <c r="K99" i="3"/>
  <c r="H99" i="3" s="1"/>
  <c r="J99" i="3"/>
  <c r="G99" i="3" s="1"/>
  <c r="K103" i="3"/>
  <c r="H103" i="3" s="1"/>
  <c r="J103" i="3"/>
  <c r="G103" i="3" s="1"/>
  <c r="K107" i="3"/>
  <c r="H107" i="3" s="1"/>
  <c r="J107" i="3"/>
  <c r="G107" i="3" s="1"/>
  <c r="K111" i="3"/>
  <c r="H111" i="3" s="1"/>
  <c r="J111" i="3"/>
  <c r="G111" i="3" s="1"/>
  <c r="K115" i="3"/>
  <c r="H115" i="3" s="1"/>
  <c r="J115" i="3"/>
  <c r="G115" i="3" s="1"/>
  <c r="K119" i="3"/>
  <c r="H119" i="3" s="1"/>
  <c r="J119" i="3"/>
  <c r="G119" i="3" s="1"/>
  <c r="K123" i="3"/>
  <c r="H123" i="3" s="1"/>
  <c r="J123" i="3"/>
  <c r="G123" i="3" s="1"/>
  <c r="K127" i="3"/>
  <c r="H127" i="3" s="1"/>
  <c r="J127" i="3"/>
  <c r="G127" i="3" s="1"/>
  <c r="K131" i="3"/>
  <c r="H131" i="3" s="1"/>
  <c r="J131" i="3"/>
  <c r="G131" i="3" s="1"/>
  <c r="K137" i="3"/>
  <c r="H137" i="3" s="1"/>
  <c r="J137" i="3"/>
  <c r="G137" i="3" s="1"/>
  <c r="K142" i="3"/>
  <c r="H142" i="3" s="1"/>
  <c r="J142" i="3"/>
  <c r="G142" i="3" s="1"/>
  <c r="J76" i="3"/>
  <c r="G76" i="3" s="1"/>
  <c r="K79" i="3"/>
  <c r="H79" i="3" s="1"/>
  <c r="J79" i="3"/>
  <c r="G79" i="3" s="1"/>
  <c r="J82" i="3"/>
  <c r="G82" i="3" s="1"/>
  <c r="K82" i="3"/>
  <c r="H82" i="3" s="1"/>
  <c r="J86" i="3"/>
  <c r="G86" i="3" s="1"/>
  <c r="K86" i="3"/>
  <c r="H86" i="3" s="1"/>
  <c r="K91" i="3"/>
  <c r="H91" i="3" s="1"/>
  <c r="J91" i="3"/>
  <c r="G91" i="3" s="1"/>
  <c r="J94" i="3"/>
  <c r="G94" i="3" s="1"/>
  <c r="K94" i="3"/>
  <c r="H94" i="3" s="1"/>
  <c r="J98" i="3"/>
  <c r="G98" i="3" s="1"/>
  <c r="K98" i="3"/>
  <c r="H98" i="3" s="1"/>
  <c r="J102" i="3"/>
  <c r="G102" i="3" s="1"/>
  <c r="K102" i="3"/>
  <c r="H102" i="3" s="1"/>
  <c r="J106" i="3"/>
  <c r="G106" i="3" s="1"/>
  <c r="K106" i="3"/>
  <c r="H106" i="3" s="1"/>
  <c r="J110" i="3"/>
  <c r="G110" i="3" s="1"/>
  <c r="K110" i="3"/>
  <c r="H110" i="3" s="1"/>
  <c r="J114" i="3"/>
  <c r="G114" i="3" s="1"/>
  <c r="K114" i="3"/>
  <c r="H114" i="3" s="1"/>
  <c r="J118" i="3"/>
  <c r="G118" i="3" s="1"/>
  <c r="K118" i="3"/>
  <c r="H118" i="3" s="1"/>
  <c r="J122" i="3"/>
  <c r="G122" i="3" s="1"/>
  <c r="K122" i="3"/>
  <c r="H122" i="3" s="1"/>
  <c r="J126" i="3"/>
  <c r="G126" i="3" s="1"/>
  <c r="K126" i="3"/>
  <c r="H126" i="3" s="1"/>
  <c r="J130" i="3"/>
  <c r="G130" i="3" s="1"/>
  <c r="K130" i="3"/>
  <c r="H130" i="3" s="1"/>
  <c r="K135" i="3"/>
  <c r="H135" i="3" s="1"/>
  <c r="J135" i="3"/>
  <c r="G135" i="3" s="1"/>
  <c r="K140" i="3"/>
  <c r="H140" i="3" s="1"/>
  <c r="J140" i="3"/>
  <c r="G140" i="3" s="1"/>
  <c r="K75" i="3"/>
  <c r="J80" i="3"/>
  <c r="G80" i="3" s="1"/>
  <c r="K80" i="3"/>
  <c r="H80" i="3" s="1"/>
  <c r="K85" i="3"/>
  <c r="H85" i="3" s="1"/>
  <c r="J85" i="3"/>
  <c r="G85" i="3" s="1"/>
  <c r="K89" i="3"/>
  <c r="H89" i="3" s="1"/>
  <c r="J89" i="3"/>
  <c r="G89" i="3" s="1"/>
  <c r="K93" i="3"/>
  <c r="H93" i="3" s="1"/>
  <c r="J93" i="3"/>
  <c r="G93" i="3" s="1"/>
  <c r="K97" i="3"/>
  <c r="H97" i="3" s="1"/>
  <c r="J97" i="3"/>
  <c r="G97" i="3" s="1"/>
  <c r="K101" i="3"/>
  <c r="H101" i="3" s="1"/>
  <c r="J101" i="3"/>
  <c r="G101" i="3" s="1"/>
  <c r="K105" i="3"/>
  <c r="H105" i="3" s="1"/>
  <c r="J105" i="3"/>
  <c r="G105" i="3" s="1"/>
  <c r="K109" i="3"/>
  <c r="H109" i="3" s="1"/>
  <c r="J109" i="3"/>
  <c r="G109" i="3" s="1"/>
  <c r="K113" i="3"/>
  <c r="H113" i="3" s="1"/>
  <c r="J113" i="3"/>
  <c r="G113" i="3" s="1"/>
  <c r="K117" i="3"/>
  <c r="H117" i="3" s="1"/>
  <c r="J117" i="3"/>
  <c r="G117" i="3" s="1"/>
  <c r="K121" i="3"/>
  <c r="H121" i="3" s="1"/>
  <c r="J121" i="3"/>
  <c r="G121" i="3" s="1"/>
  <c r="K125" i="3"/>
  <c r="H125" i="3" s="1"/>
  <c r="J125" i="3"/>
  <c r="G125" i="3" s="1"/>
  <c r="K129" i="3"/>
  <c r="H129" i="3" s="1"/>
  <c r="J129" i="3"/>
  <c r="G129" i="3" s="1"/>
  <c r="K133" i="3"/>
  <c r="H133" i="3" s="1"/>
  <c r="J133" i="3"/>
  <c r="G133" i="3" s="1"/>
  <c r="K139" i="3"/>
  <c r="H139" i="3" s="1"/>
  <c r="J139" i="3"/>
  <c r="G139" i="3" s="1"/>
  <c r="J134" i="3"/>
  <c r="G134" i="3" s="1"/>
  <c r="K134" i="3"/>
  <c r="H134" i="3" s="1"/>
  <c r="J77" i="3"/>
  <c r="G77" i="3" s="1"/>
  <c r="K77" i="3"/>
  <c r="H77" i="3" s="1"/>
  <c r="K81" i="3"/>
  <c r="H81" i="3" s="1"/>
  <c r="J81" i="3"/>
  <c r="G81" i="3" s="1"/>
  <c r="J84" i="3"/>
  <c r="G84" i="3" s="1"/>
  <c r="K84" i="3"/>
  <c r="H84" i="3" s="1"/>
  <c r="J88" i="3"/>
  <c r="G88" i="3" s="1"/>
  <c r="K88" i="3"/>
  <c r="H88" i="3" s="1"/>
  <c r="J92" i="3"/>
  <c r="G92" i="3" s="1"/>
  <c r="K92" i="3"/>
  <c r="H92" i="3" s="1"/>
  <c r="K95" i="3"/>
  <c r="H95" i="3" s="1"/>
  <c r="J95" i="3"/>
  <c r="G95" i="3" s="1"/>
  <c r="J100" i="3"/>
  <c r="G100" i="3" s="1"/>
  <c r="K100" i="3"/>
  <c r="H100" i="3" s="1"/>
  <c r="J104" i="3"/>
  <c r="G104" i="3" s="1"/>
  <c r="K104" i="3"/>
  <c r="H104" i="3" s="1"/>
  <c r="J108" i="3"/>
  <c r="G108" i="3" s="1"/>
  <c r="K108" i="3"/>
  <c r="H108" i="3" s="1"/>
  <c r="J112" i="3"/>
  <c r="G112" i="3" s="1"/>
  <c r="K112" i="3"/>
  <c r="H112" i="3" s="1"/>
  <c r="J116" i="3"/>
  <c r="G116" i="3" s="1"/>
  <c r="K116" i="3"/>
  <c r="H116" i="3" s="1"/>
  <c r="J120" i="3"/>
  <c r="G120" i="3" s="1"/>
  <c r="K120" i="3"/>
  <c r="H120" i="3" s="1"/>
  <c r="J124" i="3"/>
  <c r="G124" i="3" s="1"/>
  <c r="K124" i="3"/>
  <c r="H124" i="3" s="1"/>
  <c r="J128" i="3"/>
  <c r="G128" i="3" s="1"/>
  <c r="K128" i="3"/>
  <c r="H128" i="3" s="1"/>
  <c r="J132" i="3"/>
  <c r="G132" i="3" s="1"/>
  <c r="K132" i="3"/>
  <c r="H132" i="3" s="1"/>
  <c r="K138" i="3"/>
  <c r="H138" i="3" s="1"/>
  <c r="J138" i="3"/>
  <c r="G138" i="3" s="1"/>
  <c r="K141" i="3"/>
  <c r="H141" i="3" s="1"/>
  <c r="J141" i="3"/>
  <c r="G141" i="3" s="1"/>
  <c r="J78" i="3"/>
  <c r="G78" i="3" s="1"/>
  <c r="K78" i="3"/>
  <c r="H78" i="3" s="1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AM203" i="3"/>
  <c r="X194" i="3"/>
  <c r="Y194" i="3"/>
  <c r="Z194" i="3"/>
  <c r="AA194" i="3"/>
  <c r="AA209" i="3" s="1"/>
  <c r="C76" i="3"/>
  <c r="C77" i="3" s="1"/>
  <c r="C78" i="3" s="1"/>
  <c r="C79" i="3" s="1"/>
  <c r="C80" i="3" s="1"/>
  <c r="C81" i="3" s="1"/>
  <c r="C82" i="3" s="1"/>
  <c r="C83" i="3" s="1"/>
  <c r="C84" i="3" s="1"/>
  <c r="C85" i="3" s="1"/>
  <c r="C86" i="3" s="1"/>
  <c r="C87" i="3" s="1"/>
  <c r="C88" i="3" s="1"/>
  <c r="C89" i="3" s="1"/>
  <c r="C90" i="3" s="1"/>
  <c r="C91" i="3" s="1"/>
  <c r="C92" i="3" s="1"/>
  <c r="C93" i="3" s="1"/>
  <c r="C94" i="3" s="1"/>
  <c r="C95" i="3" s="1"/>
  <c r="C96" i="3" s="1"/>
  <c r="C97" i="3" s="1"/>
  <c r="C98" i="3" s="1"/>
  <c r="C99" i="3" s="1"/>
  <c r="C100" i="3" s="1"/>
  <c r="C101" i="3" s="1"/>
  <c r="C102" i="3" s="1"/>
  <c r="C103" i="3" s="1"/>
  <c r="C104" i="3" s="1"/>
  <c r="C105" i="3" s="1"/>
  <c r="C106" i="3" s="1"/>
  <c r="C107" i="3" s="1"/>
  <c r="C108" i="3" s="1"/>
  <c r="C109" i="3" s="1"/>
  <c r="C110" i="3" s="1"/>
  <c r="C111" i="3" s="1"/>
  <c r="C112" i="3" s="1"/>
  <c r="C113" i="3" s="1"/>
  <c r="C114" i="3" s="1"/>
  <c r="C115" i="3" s="1"/>
  <c r="C116" i="3" s="1"/>
  <c r="C117" i="3" s="1"/>
  <c r="C118" i="3" s="1"/>
  <c r="C119" i="3" s="1"/>
  <c r="C120" i="3" s="1"/>
  <c r="C121" i="3" s="1"/>
  <c r="C122" i="3" s="1"/>
  <c r="C123" i="3" s="1"/>
  <c r="C124" i="3" s="1"/>
  <c r="C125" i="3" s="1"/>
  <c r="C126" i="3" s="1"/>
  <c r="C127" i="3" s="1"/>
  <c r="C128" i="3" s="1"/>
  <c r="C129" i="3" s="1"/>
  <c r="C130" i="3" s="1"/>
  <c r="C131" i="3" s="1"/>
  <c r="C132" i="3" s="1"/>
  <c r="C133" i="3" s="1"/>
  <c r="C134" i="3" s="1"/>
  <c r="C135" i="3" s="1"/>
  <c r="C136" i="3" s="1"/>
  <c r="C137" i="3" s="1"/>
  <c r="C138" i="3" s="1"/>
  <c r="C139" i="3" s="1"/>
  <c r="C140" i="3" s="1"/>
  <c r="C141" i="3" s="1"/>
  <c r="C142" i="3" s="1"/>
  <c r="R68" i="3" l="1"/>
  <c r="T68" i="3"/>
  <c r="R64" i="3"/>
  <c r="T64" i="3"/>
  <c r="R52" i="3"/>
  <c r="T52" i="3"/>
  <c r="R48" i="3"/>
  <c r="T48" i="3"/>
  <c r="R44" i="3"/>
  <c r="T44" i="3"/>
  <c r="R32" i="3"/>
  <c r="T32" i="3"/>
  <c r="R28" i="3"/>
  <c r="T28" i="3"/>
  <c r="R16" i="3"/>
  <c r="T16" i="3"/>
  <c r="R12" i="3"/>
  <c r="T12" i="3"/>
  <c r="R8" i="3"/>
  <c r="T8" i="3"/>
  <c r="R71" i="3"/>
  <c r="T71" i="3"/>
  <c r="R67" i="3"/>
  <c r="T67" i="3"/>
  <c r="R59" i="3"/>
  <c r="T59" i="3"/>
  <c r="R55" i="3"/>
  <c r="T55" i="3"/>
  <c r="R47" i="3"/>
  <c r="T47" i="3"/>
  <c r="R43" i="3"/>
  <c r="T43" i="3"/>
  <c r="R31" i="3"/>
  <c r="T31" i="3"/>
  <c r="R70" i="3"/>
  <c r="T70" i="3"/>
  <c r="R66" i="3"/>
  <c r="T66" i="3"/>
  <c r="R62" i="3"/>
  <c r="T62" i="3"/>
  <c r="R54" i="3"/>
  <c r="T54" i="3"/>
  <c r="R50" i="3"/>
  <c r="T50" i="3"/>
  <c r="R46" i="3"/>
  <c r="T46" i="3"/>
  <c r="R42" i="3"/>
  <c r="T42" i="3"/>
  <c r="R34" i="3"/>
  <c r="T34" i="3"/>
  <c r="R30" i="3"/>
  <c r="T30" i="3"/>
  <c r="R26" i="3"/>
  <c r="T26" i="3"/>
  <c r="R22" i="3"/>
  <c r="T22" i="3"/>
  <c r="R18" i="3"/>
  <c r="T18" i="3"/>
  <c r="R10" i="3"/>
  <c r="T10" i="3"/>
  <c r="R73" i="3"/>
  <c r="T73" i="3"/>
  <c r="R69" i="3"/>
  <c r="T69" i="3"/>
  <c r="R65" i="3"/>
  <c r="T65" i="3"/>
  <c r="R61" i="3"/>
  <c r="T61" i="3"/>
  <c r="R57" i="3"/>
  <c r="T57" i="3"/>
  <c r="R53" i="3"/>
  <c r="T53" i="3"/>
  <c r="R49" i="3"/>
  <c r="T49" i="3"/>
  <c r="R45" i="3"/>
  <c r="T45" i="3"/>
  <c r="R41" i="3"/>
  <c r="T41" i="3"/>
  <c r="R37" i="3"/>
  <c r="T37" i="3"/>
  <c r="R33" i="3"/>
  <c r="T33" i="3"/>
  <c r="R29" i="3"/>
  <c r="T29" i="3"/>
  <c r="R25" i="3"/>
  <c r="T25" i="3"/>
  <c r="R21" i="3"/>
  <c r="T21" i="3"/>
  <c r="R17" i="3"/>
  <c r="T17" i="3"/>
  <c r="R13" i="3"/>
  <c r="T13" i="3"/>
  <c r="R9" i="3"/>
  <c r="T9" i="3"/>
  <c r="R72" i="3"/>
  <c r="T72" i="3"/>
  <c r="R56" i="3"/>
  <c r="T56" i="3"/>
  <c r="R36" i="3"/>
  <c r="T36" i="3"/>
  <c r="R20" i="3"/>
  <c r="T20" i="3"/>
  <c r="R63" i="3"/>
  <c r="T63" i="3"/>
  <c r="R51" i="3"/>
  <c r="T51" i="3"/>
  <c r="R39" i="3"/>
  <c r="T39" i="3"/>
  <c r="R35" i="3"/>
  <c r="T35" i="3"/>
  <c r="R27" i="3"/>
  <c r="T27" i="3"/>
  <c r="R23" i="3"/>
  <c r="T23" i="3"/>
  <c r="R19" i="3"/>
  <c r="T19" i="3"/>
  <c r="R15" i="3"/>
  <c r="T15" i="3"/>
  <c r="R11" i="3"/>
  <c r="T11" i="3"/>
  <c r="AY7" i="3"/>
  <c r="R7" i="3"/>
  <c r="T7" i="3"/>
  <c r="R60" i="3"/>
  <c r="T60" i="3"/>
  <c r="R40" i="3"/>
  <c r="T40" i="3"/>
  <c r="R24" i="3"/>
  <c r="T24" i="3"/>
  <c r="R58" i="3"/>
  <c r="T58" i="3"/>
  <c r="R38" i="3"/>
  <c r="T38" i="3"/>
  <c r="R14" i="3"/>
  <c r="T14" i="3"/>
  <c r="I72" i="3"/>
  <c r="AY72" i="3"/>
  <c r="BA72" i="3" s="1"/>
  <c r="I70" i="3"/>
  <c r="AY70" i="3"/>
  <c r="BA70" i="3" s="1"/>
  <c r="I68" i="3"/>
  <c r="AY68" i="3"/>
  <c r="BA68" i="3" s="1"/>
  <c r="I66" i="3"/>
  <c r="AY66" i="3"/>
  <c r="BA66" i="3" s="1"/>
  <c r="I64" i="3"/>
  <c r="AY64" i="3"/>
  <c r="BA64" i="3" s="1"/>
  <c r="I62" i="3"/>
  <c r="AY62" i="3"/>
  <c r="BA62" i="3" s="1"/>
  <c r="I60" i="3"/>
  <c r="AY60" i="3"/>
  <c r="BA60" i="3" s="1"/>
  <c r="I58" i="3"/>
  <c r="AY58" i="3"/>
  <c r="BA58" i="3" s="1"/>
  <c r="I56" i="3"/>
  <c r="AY56" i="3"/>
  <c r="BA56" i="3" s="1"/>
  <c r="I54" i="3"/>
  <c r="AY54" i="3"/>
  <c r="BA54" i="3" s="1"/>
  <c r="I52" i="3"/>
  <c r="AY52" i="3"/>
  <c r="BA52" i="3" s="1"/>
  <c r="I50" i="3"/>
  <c r="AY50" i="3"/>
  <c r="BA50" i="3" s="1"/>
  <c r="I48" i="3"/>
  <c r="AY48" i="3"/>
  <c r="BA48" i="3" s="1"/>
  <c r="I46" i="3"/>
  <c r="AY46" i="3"/>
  <c r="BA46" i="3" s="1"/>
  <c r="I44" i="3"/>
  <c r="AY44" i="3"/>
  <c r="BA44" i="3" s="1"/>
  <c r="I42" i="3"/>
  <c r="AY42" i="3"/>
  <c r="BA42" i="3" s="1"/>
  <c r="I40" i="3"/>
  <c r="AY40" i="3"/>
  <c r="BA40" i="3" s="1"/>
  <c r="I38" i="3"/>
  <c r="AY38" i="3"/>
  <c r="BA38" i="3" s="1"/>
  <c r="I36" i="3"/>
  <c r="AY36" i="3"/>
  <c r="BA36" i="3" s="1"/>
  <c r="I34" i="3"/>
  <c r="AY34" i="3"/>
  <c r="BA34" i="3" s="1"/>
  <c r="I32" i="3"/>
  <c r="AY32" i="3"/>
  <c r="BA32" i="3" s="1"/>
  <c r="I30" i="3"/>
  <c r="AY30" i="3"/>
  <c r="BA30" i="3" s="1"/>
  <c r="I28" i="3"/>
  <c r="AY28" i="3"/>
  <c r="BA28" i="3" s="1"/>
  <c r="I26" i="3"/>
  <c r="AY26" i="3"/>
  <c r="BA26" i="3" s="1"/>
  <c r="I24" i="3"/>
  <c r="AY24" i="3"/>
  <c r="BA24" i="3" s="1"/>
  <c r="I22" i="3"/>
  <c r="AY22" i="3"/>
  <c r="BA22" i="3" s="1"/>
  <c r="I20" i="3"/>
  <c r="AY20" i="3"/>
  <c r="BA20" i="3" s="1"/>
  <c r="I18" i="3"/>
  <c r="AY18" i="3"/>
  <c r="BA18" i="3" s="1"/>
  <c r="I16" i="3"/>
  <c r="AY16" i="3"/>
  <c r="BA16" i="3" s="1"/>
  <c r="I14" i="3"/>
  <c r="AY14" i="3"/>
  <c r="BA14" i="3" s="1"/>
  <c r="I12" i="3"/>
  <c r="AY12" i="3"/>
  <c r="BA12" i="3" s="1"/>
  <c r="I10" i="3"/>
  <c r="AY10" i="3"/>
  <c r="BA10" i="3" s="1"/>
  <c r="I8" i="3"/>
  <c r="F8" i="3" s="1"/>
  <c r="AY8" i="3"/>
  <c r="BA8" i="3" s="1"/>
  <c r="I73" i="3"/>
  <c r="F73" i="3" s="1"/>
  <c r="AY73" i="3"/>
  <c r="BA73" i="3" s="1"/>
  <c r="I71" i="3"/>
  <c r="AY71" i="3"/>
  <c r="BA71" i="3" s="1"/>
  <c r="I69" i="3"/>
  <c r="AY69" i="3"/>
  <c r="BA69" i="3" s="1"/>
  <c r="I67" i="3"/>
  <c r="AY67" i="3"/>
  <c r="BA67" i="3" s="1"/>
  <c r="I65" i="3"/>
  <c r="AY65" i="3"/>
  <c r="BA65" i="3" s="1"/>
  <c r="I63" i="3"/>
  <c r="AY63" i="3"/>
  <c r="BA63" i="3" s="1"/>
  <c r="I61" i="3"/>
  <c r="AY61" i="3"/>
  <c r="BA61" i="3" s="1"/>
  <c r="I59" i="3"/>
  <c r="AY59" i="3"/>
  <c r="BA59" i="3" s="1"/>
  <c r="I57" i="3"/>
  <c r="AY57" i="3"/>
  <c r="BA57" i="3" s="1"/>
  <c r="I55" i="3"/>
  <c r="AY55" i="3"/>
  <c r="BA55" i="3" s="1"/>
  <c r="I53" i="3"/>
  <c r="AY53" i="3"/>
  <c r="BA53" i="3" s="1"/>
  <c r="I51" i="3"/>
  <c r="AY51" i="3"/>
  <c r="BA51" i="3" s="1"/>
  <c r="I49" i="3"/>
  <c r="AY49" i="3"/>
  <c r="BA49" i="3" s="1"/>
  <c r="I47" i="3"/>
  <c r="AY47" i="3"/>
  <c r="BA47" i="3" s="1"/>
  <c r="I45" i="3"/>
  <c r="AY45" i="3"/>
  <c r="BA45" i="3" s="1"/>
  <c r="I43" i="3"/>
  <c r="AY43" i="3"/>
  <c r="BA43" i="3" s="1"/>
  <c r="I41" i="3"/>
  <c r="AY41" i="3"/>
  <c r="BA41" i="3" s="1"/>
  <c r="I39" i="3"/>
  <c r="AY39" i="3"/>
  <c r="BA39" i="3" s="1"/>
  <c r="I37" i="3"/>
  <c r="AY37" i="3"/>
  <c r="BA37" i="3" s="1"/>
  <c r="I35" i="3"/>
  <c r="AY35" i="3"/>
  <c r="BA35" i="3" s="1"/>
  <c r="I33" i="3"/>
  <c r="AY33" i="3"/>
  <c r="BA33" i="3" s="1"/>
  <c r="I31" i="3"/>
  <c r="AY31" i="3"/>
  <c r="BA31" i="3" s="1"/>
  <c r="I29" i="3"/>
  <c r="AY29" i="3"/>
  <c r="BA29" i="3" s="1"/>
  <c r="I27" i="3"/>
  <c r="AY27" i="3"/>
  <c r="BA27" i="3" s="1"/>
  <c r="I25" i="3"/>
  <c r="AY25" i="3"/>
  <c r="BA25" i="3" s="1"/>
  <c r="I23" i="3"/>
  <c r="AY23" i="3"/>
  <c r="BA23" i="3" s="1"/>
  <c r="I21" i="3"/>
  <c r="AY21" i="3"/>
  <c r="BA21" i="3" s="1"/>
  <c r="I19" i="3"/>
  <c r="AY19" i="3"/>
  <c r="BA19" i="3" s="1"/>
  <c r="I17" i="3"/>
  <c r="AY17" i="3"/>
  <c r="BA17" i="3" s="1"/>
  <c r="I15" i="3"/>
  <c r="AY15" i="3"/>
  <c r="BA15" i="3" s="1"/>
  <c r="I13" i="3"/>
  <c r="AY13" i="3"/>
  <c r="BA13" i="3" s="1"/>
  <c r="I11" i="3"/>
  <c r="AY11" i="3"/>
  <c r="BA11" i="3" s="1"/>
  <c r="I9" i="3"/>
  <c r="AY9" i="3"/>
  <c r="BA9" i="3" s="1"/>
  <c r="BA7" i="3"/>
  <c r="AN201" i="3"/>
  <c r="AN197" i="3"/>
  <c r="AN202" i="3"/>
  <c r="AN199" i="3"/>
  <c r="AN198" i="3"/>
  <c r="AN196" i="3"/>
  <c r="AN200" i="3"/>
  <c r="H75" i="3"/>
  <c r="K76" i="3"/>
  <c r="H76" i="3" s="1"/>
  <c r="J75" i="3"/>
  <c r="I7" i="3"/>
  <c r="I74" i="3" s="1"/>
  <c r="P74" i="3"/>
  <c r="AD208" i="3"/>
  <c r="AD206" i="3"/>
  <c r="AD203" i="3"/>
  <c r="AD194" i="3"/>
  <c r="R74" i="3" l="1"/>
  <c r="T74" i="3"/>
  <c r="AY74" i="3"/>
  <c r="BA74" i="3" s="1"/>
  <c r="AD209" i="3"/>
  <c r="I144" i="3"/>
  <c r="G75" i="3"/>
  <c r="J143" i="3"/>
  <c r="K143" i="3"/>
  <c r="N202" i="3"/>
  <c r="O202" i="3"/>
  <c r="AJ194" i="3" l="1"/>
  <c r="AJ203" i="3"/>
  <c r="AJ206" i="3"/>
  <c r="AJ208" i="3"/>
  <c r="P194" i="3" l="1"/>
  <c r="AJ209" i="3"/>
  <c r="L208" i="3"/>
  <c r="M207" i="3" s="1"/>
  <c r="M208" i="3" s="1"/>
  <c r="O207" i="3"/>
  <c r="O208" i="3" s="1"/>
  <c r="N207" i="3"/>
  <c r="J207" i="3" s="1"/>
  <c r="J208" i="3" s="1"/>
  <c r="O205" i="3"/>
  <c r="O206" i="3" s="1"/>
  <c r="N205" i="3"/>
  <c r="N206" i="3" s="1"/>
  <c r="L206" i="3"/>
  <c r="M205" i="3" s="1"/>
  <c r="M206" i="3" s="1"/>
  <c r="O197" i="3"/>
  <c r="O198" i="3"/>
  <c r="O199" i="3"/>
  <c r="O200" i="3"/>
  <c r="O201" i="3"/>
  <c r="N197" i="3"/>
  <c r="N198" i="3"/>
  <c r="N199" i="3"/>
  <c r="N200" i="3"/>
  <c r="N201" i="3"/>
  <c r="O196" i="3"/>
  <c r="O203" i="3" s="1"/>
  <c r="N196" i="3"/>
  <c r="N156" i="3"/>
  <c r="O146" i="3"/>
  <c r="O147" i="3"/>
  <c r="O148" i="3"/>
  <c r="O149" i="3"/>
  <c r="O150" i="3"/>
  <c r="O151" i="3"/>
  <c r="O152" i="3"/>
  <c r="O153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54" i="3"/>
  <c r="O155" i="3"/>
  <c r="O156" i="3"/>
  <c r="N147" i="3"/>
  <c r="N148" i="3"/>
  <c r="N149" i="3"/>
  <c r="N150" i="3"/>
  <c r="N151" i="3"/>
  <c r="N152" i="3"/>
  <c r="N153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54" i="3"/>
  <c r="N155" i="3"/>
  <c r="N146" i="3"/>
  <c r="O145" i="3"/>
  <c r="P209" i="3" l="1"/>
  <c r="R194" i="3"/>
  <c r="T194" i="3"/>
  <c r="N203" i="3"/>
  <c r="K205" i="3"/>
  <c r="N208" i="3"/>
  <c r="K207" i="3"/>
  <c r="K208" i="3" s="1"/>
  <c r="N194" i="3"/>
  <c r="O194" i="3"/>
  <c r="O209" i="3" s="1"/>
  <c r="T209" i="3" l="1"/>
  <c r="R209" i="3"/>
  <c r="N209" i="3"/>
  <c r="Y203" i="3"/>
  <c r="Y209" i="3" s="1"/>
  <c r="Z203" i="3"/>
  <c r="AG203" i="3"/>
  <c r="X203" i="3"/>
  <c r="X209" i="3" s="1"/>
  <c r="AB203" i="3"/>
  <c r="AC203" i="3"/>
  <c r="AH203" i="3"/>
  <c r="AH209" i="3" s="1"/>
  <c r="AI203" i="3"/>
  <c r="AI209" i="3" s="1"/>
  <c r="AG194" i="3" l="1"/>
  <c r="V194" i="3"/>
  <c r="V209" i="3" s="1"/>
  <c r="AB194" i="3"/>
  <c r="AC194" i="3"/>
  <c r="L194" i="3"/>
  <c r="L209" i="3" s="1"/>
  <c r="M148" i="3" l="1"/>
  <c r="M150" i="3"/>
  <c r="M152" i="3"/>
  <c r="M157" i="3"/>
  <c r="M159" i="3"/>
  <c r="M161" i="3"/>
  <c r="M163" i="3"/>
  <c r="M165" i="3"/>
  <c r="M167" i="3"/>
  <c r="M169" i="3"/>
  <c r="M171" i="3"/>
  <c r="M173" i="3"/>
  <c r="M175" i="3"/>
  <c r="M177" i="3"/>
  <c r="M179" i="3"/>
  <c r="M181" i="3"/>
  <c r="M183" i="3"/>
  <c r="M185" i="3"/>
  <c r="M187" i="3"/>
  <c r="M189" i="3"/>
  <c r="M191" i="3"/>
  <c r="M193" i="3"/>
  <c r="M155" i="3"/>
  <c r="M146" i="3"/>
  <c r="M147" i="3"/>
  <c r="M151" i="3"/>
  <c r="M158" i="3"/>
  <c r="M162" i="3"/>
  <c r="M166" i="3"/>
  <c r="M170" i="3"/>
  <c r="M174" i="3"/>
  <c r="M178" i="3"/>
  <c r="M182" i="3"/>
  <c r="M186" i="3"/>
  <c r="M190" i="3"/>
  <c r="M154" i="3"/>
  <c r="M145" i="3"/>
  <c r="M149" i="3"/>
  <c r="M153" i="3"/>
  <c r="M160" i="3"/>
  <c r="M164" i="3"/>
  <c r="M168" i="3"/>
  <c r="M172" i="3"/>
  <c r="M176" i="3"/>
  <c r="M180" i="3"/>
  <c r="M184" i="3"/>
  <c r="M188" i="3"/>
  <c r="M192" i="3"/>
  <c r="M156" i="3"/>
  <c r="Z208" i="3"/>
  <c r="AB208" i="3"/>
  <c r="AC208" i="3"/>
  <c r="AG208" i="3"/>
  <c r="AM208" i="3"/>
  <c r="W208" i="3"/>
  <c r="Z206" i="3"/>
  <c r="Z209" i="3" s="1"/>
  <c r="AB206" i="3"/>
  <c r="AC206" i="3"/>
  <c r="AG206" i="3"/>
  <c r="AG209" i="3" s="1"/>
  <c r="AM206" i="3"/>
  <c r="W206" i="3"/>
  <c r="W203" i="3"/>
  <c r="AC209" i="3" l="1"/>
  <c r="AB209" i="3"/>
  <c r="AM209" i="3"/>
  <c r="W209" i="3"/>
  <c r="M194" i="3"/>
  <c r="F7" i="3" l="1"/>
  <c r="I155" i="3"/>
  <c r="F155" i="3" s="1"/>
  <c r="I193" i="3"/>
  <c r="I191" i="3"/>
  <c r="I189" i="3"/>
  <c r="I187" i="3"/>
  <c r="I185" i="3"/>
  <c r="I183" i="3"/>
  <c r="I181" i="3"/>
  <c r="I179" i="3"/>
  <c r="I177" i="3"/>
  <c r="I175" i="3"/>
  <c r="I173" i="3"/>
  <c r="I169" i="3"/>
  <c r="I167" i="3"/>
  <c r="I165" i="3"/>
  <c r="I163" i="3"/>
  <c r="I161" i="3"/>
  <c r="I159" i="3"/>
  <c r="I157" i="3"/>
  <c r="I152" i="3"/>
  <c r="I150" i="3"/>
  <c r="I148" i="3"/>
  <c r="F148" i="3" s="1"/>
  <c r="I146" i="3"/>
  <c r="F146" i="3" s="1"/>
  <c r="K50" i="3"/>
  <c r="H50" i="3" s="1"/>
  <c r="K32" i="3"/>
  <c r="H32" i="3" s="1"/>
  <c r="F16" i="3"/>
  <c r="I156" i="3"/>
  <c r="I154" i="3"/>
  <c r="I192" i="3"/>
  <c r="I190" i="3"/>
  <c r="I188" i="3"/>
  <c r="I186" i="3"/>
  <c r="I184" i="3"/>
  <c r="I182" i="3"/>
  <c r="I180" i="3"/>
  <c r="I178" i="3"/>
  <c r="I176" i="3"/>
  <c r="I174" i="3"/>
  <c r="I172" i="3"/>
  <c r="I170" i="3"/>
  <c r="I168" i="3"/>
  <c r="I166" i="3"/>
  <c r="I164" i="3"/>
  <c r="I162" i="3"/>
  <c r="I160" i="3"/>
  <c r="I158" i="3"/>
  <c r="I153" i="3"/>
  <c r="I151" i="3"/>
  <c r="I149" i="3"/>
  <c r="I147" i="3"/>
  <c r="F147" i="3" s="1"/>
  <c r="I171" i="3"/>
  <c r="K68" i="3" l="1"/>
  <c r="H68" i="3" s="1"/>
  <c r="K8" i="3"/>
  <c r="H8" i="3" s="1"/>
  <c r="K12" i="3"/>
  <c r="H12" i="3" s="1"/>
  <c r="K16" i="3"/>
  <c r="H16" i="3" s="1"/>
  <c r="K20" i="3"/>
  <c r="H20" i="3" s="1"/>
  <c r="K24" i="3"/>
  <c r="H24" i="3" s="1"/>
  <c r="K28" i="3"/>
  <c r="H28" i="3" s="1"/>
  <c r="K42" i="3"/>
  <c r="H42" i="3" s="1"/>
  <c r="K58" i="3"/>
  <c r="H58" i="3" s="1"/>
  <c r="K10" i="3"/>
  <c r="H10" i="3" s="1"/>
  <c r="K14" i="3"/>
  <c r="H14" i="3" s="1"/>
  <c r="K18" i="3"/>
  <c r="H18" i="3" s="1"/>
  <c r="K22" i="3"/>
  <c r="H22" i="3" s="1"/>
  <c r="K26" i="3"/>
  <c r="H26" i="3" s="1"/>
  <c r="K30" i="3"/>
  <c r="H30" i="3" s="1"/>
  <c r="K34" i="3"/>
  <c r="H34" i="3" s="1"/>
  <c r="K66" i="3"/>
  <c r="H66" i="3" s="1"/>
  <c r="K70" i="3"/>
  <c r="H70" i="3" s="1"/>
  <c r="K38" i="3"/>
  <c r="H38" i="3" s="1"/>
  <c r="K46" i="3"/>
  <c r="H46" i="3" s="1"/>
  <c r="K54" i="3"/>
  <c r="H54" i="3" s="1"/>
  <c r="K62" i="3"/>
  <c r="H62" i="3" s="1"/>
  <c r="Q162" i="3"/>
  <c r="J162" i="3" s="1"/>
  <c r="G162" i="3" s="1"/>
  <c r="Q164" i="3"/>
  <c r="J164" i="3" s="1"/>
  <c r="G164" i="3" s="1"/>
  <c r="Q166" i="3"/>
  <c r="J166" i="3" s="1"/>
  <c r="G166" i="3" s="1"/>
  <c r="Q168" i="3"/>
  <c r="J168" i="3" s="1"/>
  <c r="G168" i="3" s="1"/>
  <c r="Q170" i="3"/>
  <c r="J170" i="3" s="1"/>
  <c r="G170" i="3" s="1"/>
  <c r="Q172" i="3"/>
  <c r="J172" i="3" s="1"/>
  <c r="G172" i="3" s="1"/>
  <c r="Q171" i="3"/>
  <c r="J171" i="3" s="1"/>
  <c r="G171" i="3" s="1"/>
  <c r="Q169" i="3"/>
  <c r="J169" i="3" s="1"/>
  <c r="G169" i="3" s="1"/>
  <c r="Q167" i="3"/>
  <c r="J167" i="3" s="1"/>
  <c r="G167" i="3" s="1"/>
  <c r="Q165" i="3"/>
  <c r="J165" i="3" s="1"/>
  <c r="G165" i="3" s="1"/>
  <c r="Q163" i="3"/>
  <c r="J163" i="3" s="1"/>
  <c r="G163" i="3" s="1"/>
  <c r="Q161" i="3"/>
  <c r="J161" i="3" s="1"/>
  <c r="G161" i="3" s="1"/>
  <c r="Q173" i="3"/>
  <c r="J173" i="3" s="1"/>
  <c r="G173" i="3" s="1"/>
  <c r="K36" i="3"/>
  <c r="H36" i="3" s="1"/>
  <c r="K40" i="3"/>
  <c r="H40" i="3" s="1"/>
  <c r="K44" i="3"/>
  <c r="H44" i="3" s="1"/>
  <c r="K48" i="3"/>
  <c r="H48" i="3" s="1"/>
  <c r="K52" i="3"/>
  <c r="H52" i="3" s="1"/>
  <c r="K56" i="3"/>
  <c r="H56" i="3" s="1"/>
  <c r="K60" i="3"/>
  <c r="H60" i="3" s="1"/>
  <c r="K64" i="3"/>
  <c r="H64" i="3" s="1"/>
  <c r="Q145" i="3"/>
  <c r="Q147" i="3"/>
  <c r="J147" i="3" s="1"/>
  <c r="G147" i="3" s="1"/>
  <c r="Q149" i="3"/>
  <c r="J149" i="3" s="1"/>
  <c r="G149" i="3" s="1"/>
  <c r="Q151" i="3"/>
  <c r="J151" i="3" s="1"/>
  <c r="G151" i="3" s="1"/>
  <c r="Q153" i="3"/>
  <c r="J153" i="3" s="1"/>
  <c r="G153" i="3" s="1"/>
  <c r="Q158" i="3"/>
  <c r="J158" i="3" s="1"/>
  <c r="G158" i="3" s="1"/>
  <c r="Q160" i="3"/>
  <c r="J160" i="3" s="1"/>
  <c r="G160" i="3" s="1"/>
  <c r="Q174" i="3"/>
  <c r="J174" i="3" s="1"/>
  <c r="G174" i="3" s="1"/>
  <c r="Q176" i="3"/>
  <c r="J176" i="3" s="1"/>
  <c r="G176" i="3" s="1"/>
  <c r="Q178" i="3"/>
  <c r="J178" i="3" s="1"/>
  <c r="G178" i="3" s="1"/>
  <c r="Q180" i="3"/>
  <c r="J180" i="3" s="1"/>
  <c r="G180" i="3" s="1"/>
  <c r="Q182" i="3"/>
  <c r="J182" i="3" s="1"/>
  <c r="G182" i="3" s="1"/>
  <c r="Q184" i="3"/>
  <c r="J184" i="3" s="1"/>
  <c r="G184" i="3" s="1"/>
  <c r="Q186" i="3"/>
  <c r="J186" i="3" s="1"/>
  <c r="G186" i="3" s="1"/>
  <c r="Q188" i="3"/>
  <c r="J188" i="3" s="1"/>
  <c r="G188" i="3" s="1"/>
  <c r="Q190" i="3"/>
  <c r="J190" i="3" s="1"/>
  <c r="G190" i="3" s="1"/>
  <c r="Q192" i="3"/>
  <c r="J192" i="3" s="1"/>
  <c r="G192" i="3" s="1"/>
  <c r="Q154" i="3"/>
  <c r="Q156" i="3"/>
  <c r="J156" i="3" s="1"/>
  <c r="G156" i="3" s="1"/>
  <c r="J73" i="3"/>
  <c r="Q146" i="3"/>
  <c r="J146" i="3" s="1"/>
  <c r="G146" i="3" s="1"/>
  <c r="Q148" i="3"/>
  <c r="J148" i="3" s="1"/>
  <c r="G148" i="3" s="1"/>
  <c r="Q150" i="3"/>
  <c r="J150" i="3" s="1"/>
  <c r="G150" i="3" s="1"/>
  <c r="Q152" i="3"/>
  <c r="J152" i="3" s="1"/>
  <c r="G152" i="3" s="1"/>
  <c r="Q157" i="3"/>
  <c r="J157" i="3" s="1"/>
  <c r="G157" i="3" s="1"/>
  <c r="Q159" i="3"/>
  <c r="J159" i="3" s="1"/>
  <c r="G159" i="3" s="1"/>
  <c r="Q175" i="3"/>
  <c r="J175" i="3" s="1"/>
  <c r="G175" i="3" s="1"/>
  <c r="Q177" i="3"/>
  <c r="J177" i="3" s="1"/>
  <c r="G177" i="3" s="1"/>
  <c r="Q179" i="3"/>
  <c r="J179" i="3" s="1"/>
  <c r="G179" i="3" s="1"/>
  <c r="Q181" i="3"/>
  <c r="J181" i="3" s="1"/>
  <c r="G181" i="3" s="1"/>
  <c r="Q183" i="3"/>
  <c r="J183" i="3" s="1"/>
  <c r="G183" i="3" s="1"/>
  <c r="Q185" i="3"/>
  <c r="J185" i="3" s="1"/>
  <c r="G185" i="3" s="1"/>
  <c r="Q187" i="3"/>
  <c r="J187" i="3" s="1"/>
  <c r="G187" i="3" s="1"/>
  <c r="Q189" i="3"/>
  <c r="J189" i="3" s="1"/>
  <c r="G189" i="3" s="1"/>
  <c r="Q191" i="3"/>
  <c r="Q193" i="3"/>
  <c r="Q155" i="3"/>
  <c r="J155" i="3" s="1"/>
  <c r="G155" i="3" s="1"/>
  <c r="K7" i="3"/>
  <c r="H7" i="3" s="1"/>
  <c r="K9" i="3"/>
  <c r="H9" i="3" s="1"/>
  <c r="K11" i="3"/>
  <c r="H11" i="3" s="1"/>
  <c r="K13" i="3"/>
  <c r="H13" i="3" s="1"/>
  <c r="K15" i="3"/>
  <c r="H15" i="3" s="1"/>
  <c r="K17" i="3"/>
  <c r="H17" i="3" s="1"/>
  <c r="K19" i="3"/>
  <c r="H19" i="3" s="1"/>
  <c r="K21" i="3"/>
  <c r="H21" i="3" s="1"/>
  <c r="K23" i="3"/>
  <c r="H23" i="3" s="1"/>
  <c r="K25" i="3"/>
  <c r="H25" i="3" s="1"/>
  <c r="K27" i="3"/>
  <c r="H27" i="3" s="1"/>
  <c r="K29" i="3"/>
  <c r="H29" i="3" s="1"/>
  <c r="K31" i="3"/>
  <c r="H31" i="3" s="1"/>
  <c r="K33" i="3"/>
  <c r="H33" i="3" s="1"/>
  <c r="K35" i="3"/>
  <c r="H35" i="3" s="1"/>
  <c r="K37" i="3"/>
  <c r="H37" i="3" s="1"/>
  <c r="K39" i="3"/>
  <c r="H39" i="3" s="1"/>
  <c r="K41" i="3"/>
  <c r="H41" i="3" s="1"/>
  <c r="K43" i="3"/>
  <c r="H43" i="3" s="1"/>
  <c r="K45" i="3"/>
  <c r="H45" i="3" s="1"/>
  <c r="K47" i="3"/>
  <c r="H47" i="3" s="1"/>
  <c r="K49" i="3"/>
  <c r="H49" i="3" s="1"/>
  <c r="K51" i="3"/>
  <c r="H51" i="3" s="1"/>
  <c r="K53" i="3"/>
  <c r="H53" i="3" s="1"/>
  <c r="K55" i="3"/>
  <c r="H55" i="3" s="1"/>
  <c r="K57" i="3"/>
  <c r="H57" i="3" s="1"/>
  <c r="K59" i="3"/>
  <c r="H59" i="3" s="1"/>
  <c r="K61" i="3"/>
  <c r="H61" i="3" s="1"/>
  <c r="K63" i="3"/>
  <c r="H63" i="3" s="1"/>
  <c r="K65" i="3"/>
  <c r="H65" i="3" s="1"/>
  <c r="K67" i="3"/>
  <c r="H67" i="3" s="1"/>
  <c r="K69" i="3"/>
  <c r="H69" i="3" s="1"/>
  <c r="K71" i="3"/>
  <c r="H71" i="3" s="1"/>
  <c r="I194" i="3"/>
  <c r="I201" i="3"/>
  <c r="F30" i="3"/>
  <c r="F26" i="3"/>
  <c r="C160" i="3"/>
  <c r="C165" i="3" s="1"/>
  <c r="C166" i="3" s="1"/>
  <c r="C167" i="3" s="1"/>
  <c r="C168" i="3" s="1"/>
  <c r="C169" i="3" s="1"/>
  <c r="C170" i="3" s="1"/>
  <c r="C171" i="3" s="1"/>
  <c r="C172" i="3" s="1"/>
  <c r="C173" i="3" s="1"/>
  <c r="C174" i="3" s="1"/>
  <c r="C175" i="3" s="1"/>
  <c r="C176" i="3" s="1"/>
  <c r="C177" i="3" s="1"/>
  <c r="C178" i="3" s="1"/>
  <c r="C179" i="3" s="1"/>
  <c r="C180" i="3" s="1"/>
  <c r="C181" i="3" s="1"/>
  <c r="C182" i="3" s="1"/>
  <c r="C183" i="3" s="1"/>
  <c r="C187" i="3"/>
  <c r="C188" i="3" s="1"/>
  <c r="F201" i="3" l="1"/>
  <c r="G6" i="3"/>
  <c r="J191" i="3"/>
  <c r="G191" i="3" s="1"/>
  <c r="J193" i="3"/>
  <c r="G193" i="3" s="1"/>
  <c r="J154" i="3"/>
  <c r="G154" i="3" s="1"/>
  <c r="J145" i="3"/>
  <c r="G145" i="3" s="1"/>
  <c r="G73" i="3"/>
  <c r="K73" i="3"/>
  <c r="H73" i="3" s="1"/>
  <c r="J72" i="3"/>
  <c r="G72" i="3" s="1"/>
  <c r="K72" i="3"/>
  <c r="H72" i="3" s="1"/>
  <c r="G194" i="3" l="1"/>
  <c r="J194" i="3"/>
  <c r="K6" i="3"/>
  <c r="AM211" i="3"/>
  <c r="H6" i="3" l="1"/>
  <c r="K74" i="3"/>
  <c r="M198" i="3"/>
  <c r="M200" i="3"/>
  <c r="M202" i="3"/>
  <c r="M197" i="3"/>
  <c r="M199" i="3"/>
  <c r="M201" i="3"/>
  <c r="M196" i="3"/>
  <c r="I205" i="3"/>
  <c r="C7" i="3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M203" i="3" l="1"/>
  <c r="M209" i="3" s="1"/>
  <c r="I206" i="3"/>
  <c r="Q205" i="3"/>
  <c r="Q206" i="3" s="1"/>
  <c r="I202" i="3"/>
  <c r="F202" i="3" s="1"/>
  <c r="I199" i="3"/>
  <c r="F199" i="3" s="1"/>
  <c r="I197" i="3"/>
  <c r="F197" i="3" s="1"/>
  <c r="I200" i="3"/>
  <c r="F200" i="3" s="1"/>
  <c r="I198" i="3"/>
  <c r="F198" i="3" s="1"/>
  <c r="I196" i="3"/>
  <c r="P204" i="3"/>
  <c r="C18" i="3"/>
  <c r="C19" i="3" s="1"/>
  <c r="C20" i="3" s="1"/>
  <c r="C21" i="3" s="1"/>
  <c r="C22" i="3" s="1"/>
  <c r="C23" i="3" s="1"/>
  <c r="C24" i="3" s="1"/>
  <c r="C25" i="3" s="1"/>
  <c r="F40" i="3"/>
  <c r="F24" i="3"/>
  <c r="F9" i="3"/>
  <c r="F10" i="3"/>
  <c r="F11" i="3"/>
  <c r="F12" i="3"/>
  <c r="F13" i="3"/>
  <c r="F14" i="3"/>
  <c r="F15" i="3"/>
  <c r="F17" i="3"/>
  <c r="F18" i="3"/>
  <c r="F19" i="3"/>
  <c r="F20" i="3"/>
  <c r="F21" i="3"/>
  <c r="F22" i="3"/>
  <c r="F23" i="3"/>
  <c r="F25" i="3"/>
  <c r="F27" i="3"/>
  <c r="F28" i="3"/>
  <c r="F29" i="3"/>
  <c r="F31" i="3"/>
  <c r="F32" i="3"/>
  <c r="F33" i="3"/>
  <c r="F34" i="3"/>
  <c r="F35" i="3"/>
  <c r="F36" i="3"/>
  <c r="F37" i="3"/>
  <c r="F38" i="3"/>
  <c r="F39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I208" i="3"/>
  <c r="R204" i="3" l="1"/>
  <c r="T204" i="3"/>
  <c r="F196" i="3"/>
  <c r="F203" i="3" s="1"/>
  <c r="I203" i="3"/>
  <c r="I209" i="3" s="1"/>
  <c r="F209" i="3" s="1"/>
  <c r="Q201" i="3"/>
  <c r="J201" i="3" s="1"/>
  <c r="G201" i="3" s="1"/>
  <c r="Q198" i="3"/>
  <c r="K198" i="3" s="1"/>
  <c r="H198" i="3" s="1"/>
  <c r="Q200" i="3"/>
  <c r="K200" i="3" s="1"/>
  <c r="H200" i="3" s="1"/>
  <c r="K206" i="3"/>
  <c r="J205" i="3"/>
  <c r="J206" i="3" s="1"/>
  <c r="Q196" i="3"/>
  <c r="Q197" i="3"/>
  <c r="Q199" i="3"/>
  <c r="Q202" i="3"/>
  <c r="C26" i="3"/>
  <c r="C27" i="3" s="1"/>
  <c r="C28" i="3" s="1"/>
  <c r="C29" i="3" s="1"/>
  <c r="Q203" i="3" l="1"/>
  <c r="Q209" i="3" s="1"/>
  <c r="K201" i="3"/>
  <c r="H201" i="3" s="1"/>
  <c r="K196" i="3"/>
  <c r="J200" i="3"/>
  <c r="G200" i="3" s="1"/>
  <c r="J198" i="3"/>
  <c r="G198" i="3" s="1"/>
  <c r="J199" i="3"/>
  <c r="G199" i="3" s="1"/>
  <c r="K199" i="3"/>
  <c r="H199" i="3" s="1"/>
  <c r="J197" i="3"/>
  <c r="G197" i="3" s="1"/>
  <c r="K197" i="3"/>
  <c r="H197" i="3" s="1"/>
  <c r="J202" i="3"/>
  <c r="G202" i="3" s="1"/>
  <c r="C30" i="3"/>
  <c r="C31" i="3" s="1"/>
  <c r="C32" i="3" s="1"/>
  <c r="C33" i="3" s="1"/>
  <c r="C34" i="3" s="1"/>
  <c r="C35" i="3" s="1"/>
  <c r="C36" i="3" s="1"/>
  <c r="C37" i="3" s="1"/>
  <c r="C38" i="3" s="1"/>
  <c r="C39" i="3" s="1"/>
  <c r="C40" i="3" s="1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Q204" i="3" l="1"/>
  <c r="K202" i="3"/>
  <c r="H202" i="3" s="1"/>
  <c r="J196" i="3"/>
  <c r="J203" i="3" s="1"/>
  <c r="F189" i="3"/>
  <c r="F184" i="3"/>
  <c r="F183" i="3"/>
  <c r="F182" i="3"/>
  <c r="F178" i="3"/>
  <c r="F176" i="3"/>
  <c r="F174" i="3"/>
  <c r="F172" i="3"/>
  <c r="F170" i="3"/>
  <c r="F168" i="3"/>
  <c r="F166" i="3"/>
  <c r="F164" i="3"/>
  <c r="F162" i="3"/>
  <c r="F160" i="3"/>
  <c r="F158" i="3"/>
  <c r="F154" i="3"/>
  <c r="F186" i="3"/>
  <c r="F180" i="3"/>
  <c r="F156" i="3"/>
  <c r="F193" i="3"/>
  <c r="F192" i="3"/>
  <c r="F191" i="3"/>
  <c r="F190" i="3"/>
  <c r="F188" i="3"/>
  <c r="F187" i="3"/>
  <c r="F185" i="3"/>
  <c r="F181" i="3"/>
  <c r="F179" i="3"/>
  <c r="F177" i="3"/>
  <c r="F175" i="3"/>
  <c r="F173" i="3"/>
  <c r="F171" i="3"/>
  <c r="F169" i="3"/>
  <c r="F167" i="3"/>
  <c r="F165" i="3"/>
  <c r="F163" i="3"/>
  <c r="F161" i="3"/>
  <c r="F159" i="3"/>
  <c r="K203" i="3" l="1"/>
  <c r="H196" i="3"/>
  <c r="H203" i="3" s="1"/>
  <c r="G196" i="3"/>
  <c r="G203" i="3" s="1"/>
  <c r="F194" i="3"/>
  <c r="F130" i="1"/>
  <c r="H188" i="1" l="1"/>
  <c r="F73" i="1"/>
  <c r="E73" i="1" s="1"/>
  <c r="F9" i="1"/>
  <c r="E9" i="1" s="1"/>
  <c r="E130" i="1" l="1"/>
  <c r="F131" i="1"/>
  <c r="E131" i="1" s="1"/>
  <c r="F132" i="1"/>
  <c r="E132" i="1" s="1"/>
  <c r="F133" i="1"/>
  <c r="E133" i="1" s="1"/>
  <c r="F134" i="1"/>
  <c r="E134" i="1" s="1"/>
  <c r="F135" i="1"/>
  <c r="E135" i="1" s="1"/>
  <c r="F136" i="1"/>
  <c r="E136" i="1" s="1"/>
  <c r="F137" i="1"/>
  <c r="E137" i="1" s="1"/>
  <c r="F138" i="1"/>
  <c r="E138" i="1" s="1"/>
  <c r="F139" i="1"/>
  <c r="E139" i="1" s="1"/>
  <c r="F140" i="1"/>
  <c r="E140" i="1" s="1"/>
  <c r="F141" i="1"/>
  <c r="E141" i="1" s="1"/>
  <c r="F142" i="1"/>
  <c r="E142" i="1" s="1"/>
  <c r="F143" i="1"/>
  <c r="E143" i="1" s="1"/>
  <c r="F144" i="1"/>
  <c r="E144" i="1" s="1"/>
  <c r="F145" i="1"/>
  <c r="E145" i="1" s="1"/>
  <c r="F146" i="1"/>
  <c r="E146" i="1" s="1"/>
  <c r="F147" i="1"/>
  <c r="E147" i="1" s="1"/>
  <c r="F148" i="1"/>
  <c r="E148" i="1" s="1"/>
  <c r="F149" i="1"/>
  <c r="E149" i="1" s="1"/>
  <c r="F150" i="1"/>
  <c r="E150" i="1" s="1"/>
  <c r="F151" i="1"/>
  <c r="E151" i="1" s="1"/>
  <c r="F152" i="1"/>
  <c r="E152" i="1" s="1"/>
  <c r="F153" i="1"/>
  <c r="E153" i="1" s="1"/>
  <c r="F154" i="1"/>
  <c r="E154" i="1" s="1"/>
  <c r="F155" i="1"/>
  <c r="E155" i="1" s="1"/>
  <c r="F156" i="1"/>
  <c r="E156" i="1" s="1"/>
  <c r="F157" i="1"/>
  <c r="E157" i="1" s="1"/>
  <c r="F158" i="1"/>
  <c r="E158" i="1" s="1"/>
  <c r="F159" i="1"/>
  <c r="E159" i="1" s="1"/>
  <c r="F160" i="1"/>
  <c r="E160" i="1" s="1"/>
  <c r="F161" i="1"/>
  <c r="E161" i="1" s="1"/>
  <c r="F162" i="1"/>
  <c r="E162" i="1" s="1"/>
  <c r="F163" i="1"/>
  <c r="E163" i="1" s="1"/>
  <c r="F164" i="1"/>
  <c r="E164" i="1" s="1"/>
  <c r="F165" i="1"/>
  <c r="E165" i="1" s="1"/>
  <c r="F166" i="1"/>
  <c r="E166" i="1" s="1"/>
  <c r="F167" i="1"/>
  <c r="E167" i="1" s="1"/>
  <c r="F168" i="1"/>
  <c r="E168" i="1" s="1"/>
  <c r="F169" i="1"/>
  <c r="E169" i="1" s="1"/>
  <c r="F170" i="1"/>
  <c r="E170" i="1" s="1"/>
  <c r="F171" i="1"/>
  <c r="E171" i="1" s="1"/>
  <c r="F172" i="1"/>
  <c r="E172" i="1" s="1"/>
  <c r="F173" i="1"/>
  <c r="E173" i="1" s="1"/>
  <c r="F174" i="1"/>
  <c r="E174" i="1" s="1"/>
  <c r="F175" i="1"/>
  <c r="E175" i="1" s="1"/>
  <c r="F2" i="1" l="1"/>
  <c r="E2" i="1" s="1"/>
  <c r="F3" i="1"/>
  <c r="E3" i="1" s="1"/>
  <c r="F4" i="1"/>
  <c r="E4" i="1" s="1"/>
  <c r="F5" i="1"/>
  <c r="E5" i="1" s="1"/>
  <c r="F6" i="1"/>
  <c r="E6" i="1" s="1"/>
  <c r="F7" i="1"/>
  <c r="E7" i="1" s="1"/>
  <c r="F8" i="1"/>
  <c r="E8" i="1" s="1"/>
  <c r="F10" i="1"/>
  <c r="E10" i="1" s="1"/>
  <c r="F11" i="1"/>
  <c r="E11" i="1" s="1"/>
  <c r="F12" i="1"/>
  <c r="E12" i="1" s="1"/>
  <c r="F13" i="1"/>
  <c r="E13" i="1" s="1"/>
  <c r="F14" i="1"/>
  <c r="E14" i="1" s="1"/>
  <c r="F15" i="1"/>
  <c r="E15" i="1" s="1"/>
  <c r="F16" i="1"/>
  <c r="E16" i="1" s="1"/>
  <c r="F17" i="1"/>
  <c r="E17" i="1" s="1"/>
  <c r="F18" i="1"/>
  <c r="E18" i="1" s="1"/>
  <c r="F19" i="1"/>
  <c r="E19" i="1" s="1"/>
  <c r="F20" i="1"/>
  <c r="E20" i="1" s="1"/>
  <c r="F21" i="1"/>
  <c r="E21" i="1" s="1"/>
  <c r="F22" i="1"/>
  <c r="E22" i="1" s="1"/>
  <c r="F23" i="1"/>
  <c r="E23" i="1" s="1"/>
  <c r="F24" i="1"/>
  <c r="E24" i="1" s="1"/>
  <c r="F25" i="1"/>
  <c r="E25" i="1" s="1"/>
  <c r="F26" i="1"/>
  <c r="E26" i="1" s="1"/>
  <c r="F27" i="1"/>
  <c r="E27" i="1" s="1"/>
  <c r="F28" i="1"/>
  <c r="E28" i="1" s="1"/>
  <c r="F29" i="1"/>
  <c r="E29" i="1" s="1"/>
  <c r="F30" i="1"/>
  <c r="E30" i="1" s="1"/>
  <c r="F31" i="1"/>
  <c r="E31" i="1" s="1"/>
  <c r="F32" i="1"/>
  <c r="E32" i="1" s="1"/>
  <c r="F33" i="1"/>
  <c r="E33" i="1" s="1"/>
  <c r="F34" i="1"/>
  <c r="E34" i="1" s="1"/>
  <c r="F35" i="1"/>
  <c r="E35" i="1" s="1"/>
  <c r="F36" i="1"/>
  <c r="E36" i="1" s="1"/>
  <c r="F37" i="1"/>
  <c r="E37" i="1" s="1"/>
  <c r="F38" i="1"/>
  <c r="E38" i="1" s="1"/>
  <c r="F39" i="1"/>
  <c r="E39" i="1" s="1"/>
  <c r="F40" i="1"/>
  <c r="E40" i="1" s="1"/>
  <c r="F41" i="1"/>
  <c r="E41" i="1" s="1"/>
  <c r="F42" i="1"/>
  <c r="E42" i="1" s="1"/>
  <c r="F43" i="1"/>
  <c r="E43" i="1" s="1"/>
  <c r="F44" i="1"/>
  <c r="E44" i="1" s="1"/>
  <c r="F45" i="1"/>
  <c r="E45" i="1" s="1"/>
  <c r="F46" i="1"/>
  <c r="E46" i="1" s="1"/>
  <c r="F47" i="1"/>
  <c r="E47" i="1" s="1"/>
  <c r="F48" i="1"/>
  <c r="E48" i="1" s="1"/>
  <c r="F49" i="1"/>
  <c r="E49" i="1" s="1"/>
  <c r="F50" i="1"/>
  <c r="E50" i="1" s="1"/>
  <c r="F51" i="1"/>
  <c r="E51" i="1" s="1"/>
  <c r="F52" i="1"/>
  <c r="E52" i="1" s="1"/>
  <c r="F53" i="1"/>
  <c r="E53" i="1" s="1"/>
  <c r="F54" i="1"/>
  <c r="E54" i="1" s="1"/>
  <c r="F55" i="1"/>
  <c r="E55" i="1" s="1"/>
  <c r="F56" i="1"/>
  <c r="E56" i="1" s="1"/>
  <c r="F57" i="1"/>
  <c r="E57" i="1" s="1"/>
  <c r="F58" i="1"/>
  <c r="E58" i="1" s="1"/>
  <c r="F59" i="1"/>
  <c r="E59" i="1" s="1"/>
  <c r="F60" i="1"/>
  <c r="E60" i="1" s="1"/>
  <c r="F61" i="1"/>
  <c r="E61" i="1" s="1"/>
  <c r="F62" i="1"/>
  <c r="E62" i="1" s="1"/>
  <c r="F63" i="1"/>
  <c r="E63" i="1" s="1"/>
  <c r="F64" i="1"/>
  <c r="E64" i="1" s="1"/>
  <c r="F65" i="1"/>
  <c r="E65" i="1" s="1"/>
  <c r="F67" i="1" l="1"/>
  <c r="E67" i="1" s="1"/>
  <c r="F68" i="1"/>
  <c r="E68" i="1" s="1"/>
  <c r="F69" i="1"/>
  <c r="E69" i="1" s="1"/>
  <c r="F70" i="1"/>
  <c r="E70" i="1" s="1"/>
  <c r="F71" i="1"/>
  <c r="E71" i="1" s="1"/>
  <c r="F72" i="1"/>
  <c r="E72" i="1" s="1"/>
  <c r="F74" i="1"/>
  <c r="E74" i="1" s="1"/>
  <c r="F75" i="1"/>
  <c r="E75" i="1" s="1"/>
  <c r="F76" i="1"/>
  <c r="E76" i="1" s="1"/>
  <c r="F77" i="1"/>
  <c r="E77" i="1" s="1"/>
  <c r="F78" i="1"/>
  <c r="E78" i="1" s="1"/>
  <c r="F79" i="1"/>
  <c r="E79" i="1" s="1"/>
  <c r="F80" i="1"/>
  <c r="E80" i="1" s="1"/>
  <c r="F81" i="1"/>
  <c r="E81" i="1" s="1"/>
  <c r="F82" i="1"/>
  <c r="E82" i="1" s="1"/>
  <c r="F83" i="1"/>
  <c r="E83" i="1" s="1"/>
  <c r="F84" i="1"/>
  <c r="E84" i="1" s="1"/>
  <c r="F85" i="1"/>
  <c r="E85" i="1" s="1"/>
  <c r="F86" i="1"/>
  <c r="E86" i="1" s="1"/>
  <c r="F87" i="1"/>
  <c r="E87" i="1" s="1"/>
  <c r="F88" i="1"/>
  <c r="E88" i="1" s="1"/>
  <c r="F89" i="1"/>
  <c r="E89" i="1" s="1"/>
  <c r="F90" i="1"/>
  <c r="E90" i="1" s="1"/>
  <c r="F91" i="1"/>
  <c r="E91" i="1" s="1"/>
  <c r="F92" i="1"/>
  <c r="E92" i="1" s="1"/>
  <c r="F93" i="1"/>
  <c r="E93" i="1" s="1"/>
  <c r="F94" i="1"/>
  <c r="E94" i="1" s="1"/>
  <c r="F95" i="1"/>
  <c r="E95" i="1" s="1"/>
  <c r="F96" i="1"/>
  <c r="E96" i="1" s="1"/>
  <c r="F97" i="1"/>
  <c r="E97" i="1" s="1"/>
  <c r="F98" i="1"/>
  <c r="E98" i="1" s="1"/>
  <c r="F99" i="1"/>
  <c r="E99" i="1" s="1"/>
  <c r="F100" i="1"/>
  <c r="E100" i="1" s="1"/>
  <c r="F101" i="1"/>
  <c r="E101" i="1" s="1"/>
  <c r="F102" i="1"/>
  <c r="E102" i="1" s="1"/>
  <c r="F103" i="1"/>
  <c r="E103" i="1" s="1"/>
  <c r="F104" i="1"/>
  <c r="E104" i="1" s="1"/>
  <c r="F105" i="1"/>
  <c r="E105" i="1" s="1"/>
  <c r="F106" i="1"/>
  <c r="E106" i="1" s="1"/>
  <c r="F107" i="1"/>
  <c r="E107" i="1" s="1"/>
  <c r="F108" i="1"/>
  <c r="E108" i="1" s="1"/>
  <c r="F109" i="1"/>
  <c r="E109" i="1" s="1"/>
  <c r="F110" i="1"/>
  <c r="E110" i="1" s="1"/>
  <c r="F111" i="1"/>
  <c r="E111" i="1" s="1"/>
  <c r="F112" i="1"/>
  <c r="E112" i="1" s="1"/>
  <c r="F113" i="1"/>
  <c r="E113" i="1" s="1"/>
  <c r="F114" i="1"/>
  <c r="E114" i="1" s="1"/>
  <c r="F115" i="1"/>
  <c r="E115" i="1" s="1"/>
  <c r="F116" i="1"/>
  <c r="E116" i="1" s="1"/>
  <c r="F117" i="1"/>
  <c r="E117" i="1" s="1"/>
  <c r="F118" i="1"/>
  <c r="E118" i="1" s="1"/>
  <c r="F119" i="1"/>
  <c r="E119" i="1" s="1"/>
  <c r="F120" i="1"/>
  <c r="E120" i="1" s="1"/>
  <c r="F121" i="1"/>
  <c r="E121" i="1" s="1"/>
  <c r="F122" i="1"/>
  <c r="E122" i="1" s="1"/>
  <c r="F123" i="1"/>
  <c r="E123" i="1" s="1"/>
  <c r="F124" i="1"/>
  <c r="E124" i="1" s="1"/>
  <c r="F125" i="1"/>
  <c r="E125" i="1" s="1"/>
  <c r="F126" i="1"/>
  <c r="E126" i="1" s="1"/>
  <c r="F127" i="1"/>
  <c r="E127" i="1" s="1"/>
  <c r="F128" i="1"/>
  <c r="E128" i="1" s="1"/>
  <c r="F129" i="1"/>
  <c r="E129" i="1" s="1"/>
  <c r="F66" i="1"/>
  <c r="E66" i="1" s="1"/>
  <c r="G188" i="1"/>
  <c r="F187" i="1"/>
  <c r="F186" i="1"/>
  <c r="F185" i="1"/>
  <c r="E185" i="1" s="1"/>
  <c r="F184" i="1"/>
  <c r="E184" i="1" s="1"/>
  <c r="F183" i="1"/>
  <c r="E183" i="1" s="1"/>
  <c r="F182" i="1"/>
  <c r="E182" i="1" s="1"/>
  <c r="F181" i="1"/>
  <c r="E181" i="1" s="1"/>
  <c r="F180" i="1"/>
  <c r="E180" i="1" s="1"/>
  <c r="F179" i="1"/>
  <c r="E179" i="1" s="1"/>
  <c r="F178" i="1"/>
  <c r="E178" i="1" s="1"/>
  <c r="F177" i="1"/>
  <c r="E177" i="1" s="1"/>
  <c r="F176" i="1"/>
  <c r="E176" i="1" s="1"/>
  <c r="F188" i="1" l="1"/>
  <c r="J34" i="3"/>
  <c r="G34" i="3" s="1"/>
  <c r="J18" i="3"/>
  <c r="G18" i="3" s="1"/>
  <c r="J29" i="3"/>
  <c r="G29" i="3" s="1"/>
  <c r="J30" i="3"/>
  <c r="G30" i="3" s="1"/>
  <c r="J13" i="3"/>
  <c r="G13" i="3" s="1"/>
  <c r="J41" i="3"/>
  <c r="G41" i="3" s="1"/>
  <c r="J42" i="3"/>
  <c r="G42" i="3" s="1"/>
  <c r="J38" i="3"/>
  <c r="G38" i="3" s="1"/>
  <c r="J65" i="3"/>
  <c r="G65" i="3" s="1"/>
  <c r="J21" i="3"/>
  <c r="G21" i="3" s="1"/>
  <c r="J64" i="3"/>
  <c r="G64" i="3" s="1"/>
  <c r="J11" i="3"/>
  <c r="G11" i="3" s="1"/>
  <c r="J16" i="3"/>
  <c r="G16" i="3" s="1"/>
  <c r="J24" i="3"/>
  <c r="G24" i="3" s="1"/>
  <c r="J36" i="3"/>
  <c r="G36" i="3" s="1"/>
  <c r="J14" i="3"/>
  <c r="G14" i="3" s="1"/>
  <c r="J60" i="3"/>
  <c r="G60" i="3" s="1"/>
  <c r="J54" i="3"/>
  <c r="G54" i="3" s="1"/>
  <c r="J31" i="3"/>
  <c r="G31" i="3" s="1"/>
  <c r="J35" i="3"/>
  <c r="G35" i="3" s="1"/>
  <c r="J40" i="3"/>
  <c r="G40" i="3" s="1"/>
  <c r="J23" i="3"/>
  <c r="G23" i="3" s="1"/>
  <c r="J32" i="3"/>
  <c r="G32" i="3" s="1"/>
  <c r="J55" i="3"/>
  <c r="G55" i="3" s="1"/>
  <c r="J47" i="3"/>
  <c r="G47" i="3" s="1"/>
  <c r="J9" i="3"/>
  <c r="G9" i="3" s="1"/>
  <c r="J44" i="3"/>
  <c r="G44" i="3" s="1"/>
  <c r="J8" i="3"/>
  <c r="G8" i="3" s="1"/>
  <c r="J56" i="3"/>
  <c r="G56" i="3" s="1"/>
  <c r="J25" i="3"/>
  <c r="G25" i="3" s="1"/>
  <c r="J22" i="3"/>
  <c r="G22" i="3" s="1"/>
  <c r="J43" i="3"/>
  <c r="G43" i="3" s="1"/>
  <c r="J70" i="3"/>
  <c r="G70" i="3" s="1"/>
  <c r="J58" i="3"/>
  <c r="G58" i="3" s="1"/>
  <c r="J69" i="3"/>
  <c r="G69" i="3" s="1"/>
  <c r="J66" i="3"/>
  <c r="G66" i="3" s="1"/>
  <c r="J17" i="3"/>
  <c r="G17" i="3" s="1"/>
  <c r="J33" i="3"/>
  <c r="G33" i="3" s="1"/>
  <c r="J27" i="3"/>
  <c r="G27" i="3" s="1"/>
  <c r="J59" i="3"/>
  <c r="G59" i="3" s="1"/>
  <c r="J19" i="3"/>
  <c r="G19" i="3" s="1"/>
  <c r="J71" i="3"/>
  <c r="G71" i="3" s="1"/>
  <c r="J67" i="3"/>
  <c r="G67" i="3" s="1"/>
  <c r="J10" i="3"/>
  <c r="G10" i="3" s="1"/>
  <c r="J61" i="3"/>
  <c r="G61" i="3" s="1"/>
  <c r="J49" i="3"/>
  <c r="G49" i="3" s="1"/>
  <c r="J50" i="3"/>
  <c r="G50" i="3" s="1"/>
  <c r="J57" i="3"/>
  <c r="G57" i="3" s="1"/>
  <c r="J12" i="3"/>
  <c r="G12" i="3" s="1"/>
  <c r="J37" i="3"/>
  <c r="G37" i="3" s="1"/>
  <c r="J68" i="3"/>
  <c r="G68" i="3" s="1"/>
  <c r="J53" i="3"/>
  <c r="G53" i="3" s="1"/>
  <c r="J62" i="3"/>
  <c r="G62" i="3" s="1"/>
  <c r="J28" i="3"/>
  <c r="G28" i="3" s="1"/>
  <c r="J45" i="3"/>
  <c r="G45" i="3" s="1"/>
  <c r="J46" i="3"/>
  <c r="G46" i="3" s="1"/>
  <c r="J52" i="3"/>
  <c r="G52" i="3" s="1"/>
  <c r="J7" i="3"/>
  <c r="J39" i="3"/>
  <c r="G39" i="3" s="1"/>
  <c r="J26" i="3"/>
  <c r="G26" i="3" s="1"/>
  <c r="J20" i="3"/>
  <c r="G20" i="3" s="1"/>
  <c r="J63" i="3"/>
  <c r="G63" i="3" s="1"/>
  <c r="J15" i="3"/>
  <c r="G15" i="3" s="1"/>
  <c r="J51" i="3"/>
  <c r="G51" i="3" s="1"/>
  <c r="J48" i="3"/>
  <c r="G48" i="3" s="1"/>
  <c r="K167" i="3"/>
  <c r="H167" i="3" s="1"/>
  <c r="K160" i="3"/>
  <c r="H160" i="3" s="1"/>
  <c r="K172" i="3"/>
  <c r="H172" i="3" s="1"/>
  <c r="K184" i="3"/>
  <c r="H184" i="3" s="1"/>
  <c r="K192" i="3"/>
  <c r="H192" i="3" s="1"/>
  <c r="K150" i="3"/>
  <c r="H150" i="3" s="1"/>
  <c r="K157" i="3"/>
  <c r="H157" i="3" s="1"/>
  <c r="K161" i="3"/>
  <c r="H161" i="3" s="1"/>
  <c r="K165" i="3"/>
  <c r="H165" i="3" s="1"/>
  <c r="K169" i="3"/>
  <c r="H169" i="3" s="1"/>
  <c r="K173" i="3"/>
  <c r="H173" i="3" s="1"/>
  <c r="K177" i="3"/>
  <c r="H177" i="3" s="1"/>
  <c r="K181" i="3"/>
  <c r="H181" i="3" s="1"/>
  <c r="K185" i="3"/>
  <c r="H185" i="3" s="1"/>
  <c r="K189" i="3"/>
  <c r="H189" i="3" s="1"/>
  <c r="K193" i="3"/>
  <c r="H193" i="3" s="1"/>
  <c r="K147" i="3"/>
  <c r="H147" i="3" s="1"/>
  <c r="K151" i="3"/>
  <c r="H151" i="3" s="1"/>
  <c r="K158" i="3"/>
  <c r="H158" i="3" s="1"/>
  <c r="K162" i="3"/>
  <c r="H162" i="3" s="1"/>
  <c r="K166" i="3"/>
  <c r="H166" i="3" s="1"/>
  <c r="K170" i="3"/>
  <c r="H170" i="3" s="1"/>
  <c r="K174" i="3"/>
  <c r="H174" i="3" s="1"/>
  <c r="K178" i="3"/>
  <c r="H178" i="3" s="1"/>
  <c r="K182" i="3"/>
  <c r="H182" i="3" s="1"/>
  <c r="K186" i="3"/>
  <c r="H186" i="3" s="1"/>
  <c r="K190" i="3"/>
  <c r="H190" i="3" s="1"/>
  <c r="K154" i="3"/>
  <c r="H154" i="3" s="1"/>
  <c r="K148" i="3"/>
  <c r="H148" i="3" s="1"/>
  <c r="K152" i="3"/>
  <c r="H152" i="3" s="1"/>
  <c r="K159" i="3"/>
  <c r="H159" i="3" s="1"/>
  <c r="K163" i="3"/>
  <c r="H163" i="3" s="1"/>
  <c r="K171" i="3"/>
  <c r="H171" i="3" s="1"/>
  <c r="K175" i="3"/>
  <c r="H175" i="3" s="1"/>
  <c r="K179" i="3"/>
  <c r="H179" i="3" s="1"/>
  <c r="K183" i="3"/>
  <c r="H183" i="3" s="1"/>
  <c r="K187" i="3"/>
  <c r="H187" i="3" s="1"/>
  <c r="K191" i="3"/>
  <c r="H191" i="3" s="1"/>
  <c r="K155" i="3"/>
  <c r="H155" i="3" s="1"/>
  <c r="K149" i="3"/>
  <c r="H149" i="3" s="1"/>
  <c r="K153" i="3"/>
  <c r="H153" i="3" s="1"/>
  <c r="K164" i="3"/>
  <c r="H164" i="3" s="1"/>
  <c r="K168" i="3"/>
  <c r="H168" i="3" s="1"/>
  <c r="K176" i="3"/>
  <c r="H176" i="3" s="1"/>
  <c r="K180" i="3"/>
  <c r="H180" i="3" s="1"/>
  <c r="K188" i="3"/>
  <c r="H188" i="3" s="1"/>
  <c r="K156" i="3"/>
  <c r="H156" i="3" s="1"/>
  <c r="K145" i="3"/>
  <c r="H145" i="3" s="1"/>
  <c r="G7" i="3" l="1"/>
  <c r="J74" i="3"/>
  <c r="J209" i="3" s="1"/>
  <c r="G209" i="3" s="1"/>
  <c r="K146" i="3"/>
  <c r="H146" i="3" s="1"/>
  <c r="K194" i="3" l="1"/>
  <c r="K209" i="3" s="1"/>
  <c r="H209" i="3" s="1"/>
  <c r="H194" i="3"/>
  <c r="AO204" i="3"/>
</calcChain>
</file>

<file path=xl/sharedStrings.xml><?xml version="1.0" encoding="utf-8"?>
<sst xmlns="http://schemas.openxmlformats.org/spreadsheetml/2006/main" count="727" uniqueCount="255">
  <si>
    <t>№п/п</t>
  </si>
  <si>
    <t>Услуга</t>
  </si>
  <si>
    <t>Учреждение</t>
  </si>
  <si>
    <t>Объем муниципальной услуги, ед.</t>
  </si>
  <si>
    <t>Норматив (на ед. услуги), руб.</t>
  </si>
  <si>
    <t>Нормативные затраты, связанные непосредственно с оказанием услуги,  руб.</t>
  </si>
  <si>
    <t>Нормативные затраты на содержание имущества, руб.</t>
  </si>
  <si>
    <t>Сумма финансового обеспечения выполнения муниципального задания, руб.</t>
  </si>
  <si>
    <t>Предоставление дошкольного образования в муниципальных образовательных учреждениях дошкольного образования</t>
  </si>
  <si>
    <t>Муниципальное дошкольное образовательное учреждение Детский сад комбинированного вида № 12</t>
  </si>
  <si>
    <t>Муниципальное дошкольное образовательное учреждение Детский сад комбинированного вида № 13</t>
  </si>
  <si>
    <t>Муниципальное дошкольное образовательное учреждение Детский сад № 23</t>
  </si>
  <si>
    <t>Муниципальное дошкольное образовательное учреждение Детский сад комбинированного вида № 28</t>
  </si>
  <si>
    <t>Муниципальное дошкольное образовательное учреждение Детский сад комбинированного вида № 39</t>
  </si>
  <si>
    <t>Муниципальное дошкольное образовательное учреждение Детский сад общеразвивающего вида № 5</t>
  </si>
  <si>
    <t>Муниципальное дошкольное образовательное учреждение Детский сад комбинированного вида №67</t>
  </si>
  <si>
    <t>Муниципальное дошкольное образовательное учреждение Детский сад комбинированного вида №80</t>
  </si>
  <si>
    <t>Предоставление общего образования в муниципальных общеобразовательных учреждениях</t>
  </si>
  <si>
    <t>Муниципальное общеобразовательное учреждение Быковская средняя общеобразовательная школа № 14</t>
  </si>
  <si>
    <t>Муниципальное общеобразовательное учреждение Быковская средняя общеобразовательная школа № 15</t>
  </si>
  <si>
    <t>Муниципальное общеобразовательное учреждение «Быковская основная общеобразовательная школа № 16»</t>
  </si>
  <si>
    <t>Муниципальное общеобразовательное учреждение Власовская средняя общеобразовательная школа №13</t>
  </si>
  <si>
    <t>Муниципальное общеобразовательное учреждение Ганусовская средняя общеобразовательная школа</t>
  </si>
  <si>
    <t>Муниципальное общеобразовательное учреждение - Гимназия № 2 г. Раменское</t>
  </si>
  <si>
    <t>Муниципальное общеобразовательное учреждение «Гимназия г. Раменское»</t>
  </si>
  <si>
    <t>Муниципальное общеобразовательное учреждение Заворовская средняя общеобразовательная школа</t>
  </si>
  <si>
    <t>Муниципальное общеобразовательное учреждение Зюзинская основная общеобразовательная школа</t>
  </si>
  <si>
    <t>Муниципальное общеобразовательное учреждение Ильинская основная общеобразовательная школа № 17</t>
  </si>
  <si>
    <t>Муниципальное общеобразовательное учреждение Клишевская средняя общеобразовательная школа №12</t>
  </si>
  <si>
    <t>Муниципальное общеобразовательное учреждение Константиновская средняя общеобразовательная школа</t>
  </si>
  <si>
    <t>Муниципальное общеобразовательное учреждение Кузяевская основная общеобразовательная школа</t>
  </si>
  <si>
    <t>Муниципальное общеобразовательное учреждение Никитская средняя общеобразовательная школа</t>
  </si>
  <si>
    <t>Муниципальное общеобразовательное учреждение Никоновская основная общеобразовательная школа</t>
  </si>
  <si>
    <t>Муниципальное общеобразовательное учреждение Новосельская основная общеобразовательная школа</t>
  </si>
  <si>
    <t>Муниципальное общеобразовательное учреждение «Островецкая средняя общеобразовательная школа»</t>
  </si>
  <si>
    <t>Муниципальное общеобразовательное учреждение Речицкая средняя общеобразовательная школа</t>
  </si>
  <si>
    <t>Муниципальное общеобразовательное учреждение Рыболовская средняя общеобразовательная школа</t>
  </si>
  <si>
    <t>Муниципальное общеобразовательное учреждение Софьинская средняя общеобразовательная школа</t>
  </si>
  <si>
    <t>Муниципальное общеобразовательное учреждение Удельнинская гимназия</t>
  </si>
  <si>
    <t>Муниципальное общеобразовательное учреждение Ульянинская основная общеобразовательная школа</t>
  </si>
  <si>
    <t>Муниципальное общеобразовательное учреждение Чулковская средняя общеобразовательная школа № 20</t>
  </si>
  <si>
    <t>Муниципальное общеобразовательное учреждение Раменская средняя общеобразовательная школа № 19</t>
  </si>
  <si>
    <t>Муниципальное общеобразовательное учреждение Ильинская средняя общеобразовательная школа № 25</t>
  </si>
  <si>
    <t>Муниципальное общеобразовательное учреждение «Ильинская средняя общеобразовательная школа № 26»</t>
  </si>
  <si>
    <t>Муниципальное общеобразовательное учреждение Кратовская основная общеобразовательная школа № 27</t>
  </si>
  <si>
    <t>Муниципальное общеобразовательное учреждение Кратовская средняя общеобразовательная школа № 28</t>
  </si>
  <si>
    <t>Муниципальное общеобразовательное учреждение Раменская средняя общеобразовательная школа № 5</t>
  </si>
  <si>
    <t>Муниципальное общеобразовательное учреждение Раменская средняя общеобразовательная школа № 6</t>
  </si>
  <si>
    <t>Муниципальное общеобразовательное учреждение Раменская средняя общеобразовательная школа № 8</t>
  </si>
  <si>
    <t>Муниципальное общеобразовательное учреждение Кратовская средняя общеобразовательная  школа № 98</t>
  </si>
  <si>
    <t>Муниципальное общеобразовательное учреждение Юровская средняя общеобразовательная школа</t>
  </si>
  <si>
    <t>Предоставление дошкольного, начального общего образования и медицинского обслуживания в муниципальных образовательных учреждениях для детей дошкольного и младшего школьного возраста</t>
  </si>
  <si>
    <t>Предоставление общего образования в муниципальных вечерних (сменных) общеобразовательных учреждениях</t>
  </si>
  <si>
    <t>Муниципальное вечернее (сменное) общеобразовательное учреждение Центр образования</t>
  </si>
  <si>
    <t>Предоставление образования и медицинского обслуживания в муниципальных специальных (коррекционных) образовательных учреждениях для обучающихся, воспитанников с ограниченными возможностями здоровья. Обеспечение необходимых условий для организации коррекционной работы с обучающимися, воспитанниками с ограниченными возможностями здоровья</t>
  </si>
  <si>
    <t>Муниципальное специальное (коррекционное) образовательное учреждение для обучающихся, воспитанников с ограниченными возможностями здоровья Раменская специальная (коррекционная) общеобразовательная школа-интернат VIII вида</t>
  </si>
  <si>
    <t>Муниципальное специальное (коррекционное) образовательное учреждение для обучающихся, воспитанников с ограниченными возможностями здоровья Юровская специальная (коррекционная) общеобразовательная школа-интернат VI вида</t>
  </si>
  <si>
    <t>Предоставление дополнительного образования в муниципальных учреждениях дополнительного образования детей</t>
  </si>
  <si>
    <t>Муниципальное образовательное учреждение дополнительного образования детей Быковский Центр развития творчества детей и юношества</t>
  </si>
  <si>
    <t>Муниципальное образовательное учреждение дополнительного образования детей "Детско-юношеская спортивная школа"</t>
  </si>
  <si>
    <t>Муниципальное образовательное учреждение дополнительного образования детей «Детско-юношеская спортивная школа № 1»</t>
  </si>
  <si>
    <t>Муниципальное образовательное учреждение дополнительного образования детей Детско-юношеская  спортивная школа «Сатурн»</t>
  </si>
  <si>
    <t>Муниципальное образовательное учреждение дополнительного образования детей Ильинская комплексная детско-юношеская спортивная школа</t>
  </si>
  <si>
    <t>Муниципальное образовательное учреждение дополнительного образования детей Раменский Центр развития творчества детей и юношества</t>
  </si>
  <si>
    <t>Муниципальное образовательное учреждение дополнительного образования детей Хоровая школа «Юность России»</t>
  </si>
  <si>
    <t>Муниципальное образовательное учреждение дополнительного образования детей Центр внешкольной работы</t>
  </si>
  <si>
    <t>Предоставление дополнительного профессионального образования, повышения квалификации работников образования</t>
  </si>
  <si>
    <t>Муниципальное образовательное учреждение дополнительного профессионального образования (повышения квалификации) специалистов Методический центр "Раменский дом учителя"</t>
  </si>
  <si>
    <t>Предоставление психолого-педагогической и медико-социальной помощи</t>
  </si>
  <si>
    <t>Муниципальное образовательное учреждение для детей, нуждающихся в психолого-педагогической и медико-социальной помощи  Центр диагностики и консультирования "Диалог"</t>
  </si>
  <si>
    <t>Итого по услугам (работам)</t>
  </si>
  <si>
    <t>Муниципальное дошкольное образовательное учреждение "Детский сад общеразвивающего вида №1"</t>
  </si>
  <si>
    <t>Муниципальное дошкольное образовательное учреждение "Детский сад комбинированного вида № 2"</t>
  </si>
  <si>
    <t>Муниципальное дошкольное образовательное учреждение Детский сад комбинированного вида №3</t>
  </si>
  <si>
    <t>Муниципальное дошкольное образовательное учреждение Детский сад №7 компенсирующего вида</t>
  </si>
  <si>
    <t>Муниципальное дошкольное образовательное учреждение Детский сад комбинированного вида №8</t>
  </si>
  <si>
    <t>Муниципальное дошкольное образовательное учреждение Детский сад комбинированного вида №9</t>
  </si>
  <si>
    <t>Муниципальное дошкольное образовательное учреждение Детский сад комбинированного вида № 11</t>
  </si>
  <si>
    <t>Муниципальное дошкольное образовательное учреждение Детский сад комбинированного вида №14</t>
  </si>
  <si>
    <t>Муниципальное дошкольное образовательное учреждение "Детский сад комбинированного вида № 15"</t>
  </si>
  <si>
    <t>Муниципальное дошкольное образовательное учреждение Детский сад комбинированного вида №16</t>
  </si>
  <si>
    <t>Муниципальное дошкольное образовательное учреждение Детский сад комбинированного вида №17</t>
  </si>
  <si>
    <t>Муниципальное дошкольное образовательное учреждение Детский сад комбинированного вида №18</t>
  </si>
  <si>
    <t>Муниципальное дошкольное образовательное учреждение Детский сад №19</t>
  </si>
  <si>
    <t>Муниципальное дошкольное образовательное учреждение Детский сад комбинированного вида №21</t>
  </si>
  <si>
    <t>Муниципальное дошкольное образовательное учреждение "Детский сад №24"</t>
  </si>
  <si>
    <t>Муниципальное дошкольное образовательное учреждение "Детский сад №25"</t>
  </si>
  <si>
    <t>Муниципальное дошкольное образовательное учреждение Детский сад комбинированного вида № 29</t>
  </si>
  <si>
    <t>Муниципальное дошкольное образовательное учреждение "Детский сад комбинированного вида №30"</t>
  </si>
  <si>
    <t>Муниципальное дошкольное образовательное учреждение Детский сад комбинированного вида №31</t>
  </si>
  <si>
    <t>Муниципальное дошкольное образовательное учреждение Детский сад №32</t>
  </si>
  <si>
    <t>Муниципальное дошкольное образовательное учреждение "Детский сад №33"</t>
  </si>
  <si>
    <t>Муниципальное дошкольное образовательное учреждение Детский сад общеразвивающего вида №34</t>
  </si>
  <si>
    <t>Муниципальное дошкольное образовательное учреждение Детский сад комбинированного вида №36</t>
  </si>
  <si>
    <t>Муниципальное дошкольное образовательное учреждение Детский сад комбинированного вида №37</t>
  </si>
  <si>
    <t>Муниципальное дошкольное образовательное учреждение Детский сад комбинированного вида № 38</t>
  </si>
  <si>
    <t>Муниципальное дошкольное образовательное учреждение "Детский сад комбинированного вида №42"</t>
  </si>
  <si>
    <t>Муниципальное дошкольное образовательное учреждение Детский сад комбинированного вида № 43</t>
  </si>
  <si>
    <t>Муниципальное дошкольное образовательное учреждение Детский сад комбинированного вида №44</t>
  </si>
  <si>
    <t>Муниципальное дошкольное образовательное учреждение Детский сад комбинированного вида №45</t>
  </si>
  <si>
    <t>Муниципальное дошкольное образовательное учреждение Детский сад комбинированного вида №46</t>
  </si>
  <si>
    <t>Муниципальное дошкольное образовательное учреждение Центр развития ребенка -Детский сад №49</t>
  </si>
  <si>
    <t>Муниципальное дошкольное образовательное учреждение Детский сад общеразвивающего вида № 50</t>
  </si>
  <si>
    <t>Муниципальное дошкольное образовательное учреждение "Детский сад комбинированного вида №51"</t>
  </si>
  <si>
    <t>Муниципальное дошкольное образовательное учреждение Детский сад комбинированного вида №52</t>
  </si>
  <si>
    <t>Муниципальное дошкольное образовательное учреждение Детский сад комбинированного вида №53</t>
  </si>
  <si>
    <t>Муниципальное дошкольное образовательное учреждение Детский сад комбинированного вида №54</t>
  </si>
  <si>
    <t>Муниципальное дошкольное образовательное учреждение "Детский сад № 56"</t>
  </si>
  <si>
    <t>Муниципальное дошкольное образовательное учреждение Детский сад комбинированного вида №58</t>
  </si>
  <si>
    <t>Муниципальное дошкольное образовательное учреждение Детский сад комбинированного вида №60</t>
  </si>
  <si>
    <t>Муниципальное дошкольное образовательное учреждение "Детский сад комбинированного вида №61"</t>
  </si>
  <si>
    <t>Муниципальное дошкольное образовательное учреждение "Детский сад №62"</t>
  </si>
  <si>
    <t>Муниципальное дошкольное образовательное учреждение Детский сад общеразвивающего вида №63</t>
  </si>
  <si>
    <t>Муниципальное дошкольное образовательное учреждение Детский сад комбинированного вида № 66</t>
  </si>
  <si>
    <t>Муниципальное дошкольное образовательное учреждение Детский сад комбинированного вида №69</t>
  </si>
  <si>
    <t>Муниципальное дошкольное образовательное учреждение Детский сад комбинированного вида №71</t>
  </si>
  <si>
    <t>Муниципальное дошкольное образовательное учреждение Детский сад №72</t>
  </si>
  <si>
    <t>Муниципальное дошкольное образовательное учреждение Детский сад комбинированного вида №73</t>
  </si>
  <si>
    <t>Муниципальное дошкольное образовательное учреждение Детский сад комбинированного вида №74</t>
  </si>
  <si>
    <t>Муниципальное дошкольное образовательное учреждение Детский сад комбинированного вида №76</t>
  </si>
  <si>
    <t>Муниципальное дошкольное образовательное учреждение Детский сад комбинированного вида №77</t>
  </si>
  <si>
    <t>Муниципальное дошкольное образовательное учреждение Детский сад комбинированного вида №78</t>
  </si>
  <si>
    <t>Муниципальное дошкольное образовательное учреждение Детский сад комбинированного вида № 79</t>
  </si>
  <si>
    <t>Муниципальное дошкольное образовательное учреждение Детский сад комбинированного вида №82</t>
  </si>
  <si>
    <t>Муниципальное дошкольное образовательное учреждение Детский сад комбинированного вида №83</t>
  </si>
  <si>
    <t>Муниципальное дошкольное образовательное учреждение "Детский сад общеразвивающего вида №84"</t>
  </si>
  <si>
    <t>Осуществление присмотра и ухода в муниципальных образовательных учреждениях дошкольного образования</t>
  </si>
  <si>
    <t>Муниципальное общеобразовательное учреждение Раменская общеобразовательная средняя школа № 1 с углубленным изучением предметов</t>
  </si>
  <si>
    <t>Муниципальное общеобразовательное учреждение Раменская средняя общеобразовательная школа № 21 с углубленным изучением отдельных предметов</t>
  </si>
  <si>
    <t xml:space="preserve">Муниципальное общеобразовательное учреждение средняя общеобразовательная школа № 22 с углубленным изучением отдельных предметов </t>
  </si>
  <si>
    <t xml:space="preserve">Муниципальное общеобразовательное учреждение Ново-Харитоновская средняя общеобразовательная школа № 10 с углубленным изучением отдельных предметов </t>
  </si>
  <si>
    <t>Муниципальное общеобразовательное учреждение    Гжельская средняя общеобразовательная школа с изучением предметов художественно-эстетического цикла</t>
  </si>
  <si>
    <t xml:space="preserve">Муниципальное общеобразовательное учреждение Раменская средняя общеобразовательная школа № 4 </t>
  </si>
  <si>
    <t>Муниципальное общеобразовательное учреждение Родниковская средняя общеобразовательная школа №32</t>
  </si>
  <si>
    <t>Муниципальное общеобразовательное учреждение Удельнинская средняя общеобразовательная школа №34</t>
  </si>
  <si>
    <t>Муниципальное общеобразовательное учреждение основная общеобразовательная школа №18 п. РАОС</t>
  </si>
  <si>
    <t>Муниципальное общеобразовательное учреждение Средняя общеобразовательная школа № 11 п. Дружба</t>
  </si>
  <si>
    <t>Муниципальное общеобразовательное учреждение  Дергаевская средняя общеобразовательная школа №23</t>
  </si>
  <si>
    <t>Муниципальное образовательное учреждение для детей дошкольного и младшего школьного возраста Прогимназия №48</t>
  </si>
  <si>
    <t>Муниципальное дошкольное образовательное учреждение Детский сад комбинированного вида № 10</t>
  </si>
  <si>
    <t>Муниципальное общеобразовательное учреждение Раменская средняя общеобразовательная школа №9</t>
  </si>
  <si>
    <t>за модельную методику</t>
  </si>
  <si>
    <t>ОБЛАСТНОЙ БЮДЖЕТ</t>
  </si>
  <si>
    <t>МЕСТНЫЙ БЮДЖЕТ</t>
  </si>
  <si>
    <t>Наименование услуги (работы)</t>
  </si>
  <si>
    <t>2.</t>
  </si>
  <si>
    <t>3.</t>
  </si>
  <si>
    <t>4.</t>
  </si>
  <si>
    <t>6.</t>
  </si>
  <si>
    <t>Бывшева Е.А.</t>
  </si>
  <si>
    <t>46-3-16-05</t>
  </si>
  <si>
    <t>Всего:</t>
  </si>
  <si>
    <t>Областной бюджет заработная плата</t>
  </si>
  <si>
    <t>Учебники</t>
  </si>
  <si>
    <t>1.</t>
  </si>
  <si>
    <t>Реализация основных общеобразовательных программ начального общего образования</t>
  </si>
  <si>
    <t>Реализация  основных общеобразованых программ начального общего образования</t>
  </si>
  <si>
    <t>2.1.</t>
  </si>
  <si>
    <t>Школы</t>
  </si>
  <si>
    <t>2.2.</t>
  </si>
  <si>
    <t>Иные</t>
  </si>
  <si>
    <t>Реализация основных общеобразовательных программ основного общего образования</t>
  </si>
  <si>
    <t>3.1.</t>
  </si>
  <si>
    <t>Реализация  основных общеобразовательных программ среднего общего образования</t>
  </si>
  <si>
    <t>4.1.</t>
  </si>
  <si>
    <t>Реализация основных общеобразовательных программ основного общего</t>
  </si>
  <si>
    <t>Реализация основных общеобразовательных программ среднего общего образования</t>
  </si>
  <si>
    <t>Реализация дополнительных профессиональных образовательных программ повышения квалификации</t>
  </si>
  <si>
    <t>7.</t>
  </si>
  <si>
    <t>Исполнитель:</t>
  </si>
  <si>
    <t>Директор МУ ЦБ МОС</t>
  </si>
  <si>
    <t>Муниципальное общеобразовательное учреждение "Удельнинская общеобразовательная школа-интернат для обучающихся с ограниченными возможностями здоровья"</t>
  </si>
  <si>
    <t>Муниципальное дошкольное образовательное учреждение Детский сад комбинированного вида № 4</t>
  </si>
  <si>
    <t>Муниципальное дошкольное образовательное учреждение Детский сад комбинированного вида № 6</t>
  </si>
  <si>
    <t>Муниципальное дошкольное образовательное учреждение № 20 "Новое поколение"</t>
  </si>
  <si>
    <t>Муниципальное дошкольное образовательное учреждение Детский сад № 22</t>
  </si>
  <si>
    <t>Муниципальное  дошкольное образовательное учреждение Детский сад № 26</t>
  </si>
  <si>
    <t>Муниципальное дошкольное образовательное учреждение Детский сад комбинированного вида № 54</t>
  </si>
  <si>
    <t>Муниципальное общеобразовательное учреждение Раменская средняя общеобразовательная школа №1 с углубленным изучением отдельных предметов</t>
  </si>
  <si>
    <t>Муниципальное общеобразовательное учреждение Раменская средняя общеобразовательная школа № 4</t>
  </si>
  <si>
    <t>Муниципальное общеобразовательное учреждение Раменская средняя общеобразовательная школа №6</t>
  </si>
  <si>
    <t>Муниципальное общеобразовательное учреждение Раменская средняя общеобразовательная школа № 9</t>
  </si>
  <si>
    <t>Муниципальное общеобразовательное учреждение средняя общеобразовательная школа № 11 пос. Дружба</t>
  </si>
  <si>
    <t>Муниципальное общеобразовательное учреждение Клишевская средняя общеобразовательная школа № 12</t>
  </si>
  <si>
    <t>Муниципальное общеобразовательное учреждение Быковская средняя общеобразовательная школа №14</t>
  </si>
  <si>
    <t>Муниципальное общеобразовательное учреждение "Быковская основная общеобразовательная школа №16"</t>
  </si>
  <si>
    <t>Муниципальное общеобразовательное учреждение основная общеобразовательная школа №18 пос. РАОС</t>
  </si>
  <si>
    <t>Муниципальное общеобразовательное учреждение Чулковская средняя общеобразовательная школа №20</t>
  </si>
  <si>
    <t>Муниципальное общеобразовательное учреждение Раменская средняя общеобразовательная школа №21 с углубленным изучением отдельных предметов</t>
  </si>
  <si>
    <t>Муниципальное общеобразовательное учреждение средняя общеобразовательная школа № 22 с углубленным изучением отдельных предметов</t>
  </si>
  <si>
    <t>Муниципальное общеобразовательное учреждение "Ильинская средняя общеобразовательная школа №26"</t>
  </si>
  <si>
    <t>Муниципальное общеобразовательное учреждение Родниковская средняя общеобразовательная школа № 32</t>
  </si>
  <si>
    <t>Муниципальное общеобразовательное учреждение Гжельская средняя общеобразовательная школа с изучением предметов художественно-эстетического цикла</t>
  </si>
  <si>
    <t>Муниципальное общеобразовательное учреждение "Гимназия г. Раменское"</t>
  </si>
  <si>
    <t>Муниципальное общеобразовательное учреждение Никитская средняя общеобразовательна школа</t>
  </si>
  <si>
    <t>Муниципальное общеобразовательное учреждение "Островецкая средняя общеобразовательная школа"</t>
  </si>
  <si>
    <t>Муниципальное общеобразовательное учреждение "Раменская общеобразовательная  школа-интернат для обучающихся с ограниченными возможностями здоровья"</t>
  </si>
  <si>
    <t>Муниципальное общеобразовательное учреждение "Юровская бщеобразовательная  школа-интернат для обучающихся с ограниченными возможностями здоровья"</t>
  </si>
  <si>
    <t>Муниципальное учреждение дополнительного образования Быковский Центр развития творчества детей и юношества</t>
  </si>
  <si>
    <t>Муниципальное учреждение дополнительного образования "Детско-юношеская спортивная школа"</t>
  </si>
  <si>
    <t>Муниципальное учреждение дополнительного образования "Детско-юношеская спортивная школа №1"</t>
  </si>
  <si>
    <t>Муниципальное учреждение дополнительного образования Ильинская комплексная детско-юношеская спортивная школа</t>
  </si>
  <si>
    <t>Муниципальное учреждение дополнительного образования Хоровая школа "Юность России"</t>
  </si>
  <si>
    <t>Муниципальное учреждение дополнительного образования Центр внешкольной работы</t>
  </si>
  <si>
    <t>Муниципальное учреждение дополнительного образования Удельнинский центр внешкольной работы</t>
  </si>
  <si>
    <t>Муниципальное образовательное учреждение для детей, нуждающихся в психолого-педагогической, медицинской и социальной помощи "Центр диагностики и консультирования "Диалог"</t>
  </si>
  <si>
    <t xml:space="preserve">Муниципальное образовательное учреждение дополнительного профессионального образования Методический центр "Раменский дом учителя" </t>
  </si>
  <si>
    <t>соотношение %</t>
  </si>
  <si>
    <t>Соотношение %</t>
  </si>
  <si>
    <t xml:space="preserve">                                                                                                     </t>
  </si>
  <si>
    <t>".</t>
  </si>
  <si>
    <t>Реализация основных общеобразовательных программ дошкольного образования</t>
  </si>
  <si>
    <t>Реализация дополнительных общеобразовательных общеразвивающих программ</t>
  </si>
  <si>
    <t>Муниципальное дошкольное образовательное учреждение Детский сад общеразвивающего вида №5</t>
  </si>
  <si>
    <t>Муниципальное дошкольное образовательное учреждение Детский сад комбинированного вида №12</t>
  </si>
  <si>
    <t>Муниципальное дошкольное образовательное учреждение "Детский сад комбинированного вида №15"</t>
  </si>
  <si>
    <t>Муниципальное дошкольное образовательное учреждение "Детский сад комбинированного вида №17"</t>
  </si>
  <si>
    <t>Муниципальное дошкольное образовательное учреждение Детский сад комбинированного вида № 18</t>
  </si>
  <si>
    <t>Муниципальное дошкольное образовательное учреждение Детский сад № 19</t>
  </si>
  <si>
    <t>Муниципальное дошкольное образовательное учреждение "Детский сад № 24"</t>
  </si>
  <si>
    <t>Муниципальное дошкольное образовательное учреждение Детский сад комбинированного вида №29</t>
  </si>
  <si>
    <t>Муниципальное дошкольное образовательное учреждение Детский сад комбинированного вида № 36</t>
  </si>
  <si>
    <t>Муниципальное дошкольное образовательное учреждение Детский сад комбинированного вида №38</t>
  </si>
  <si>
    <t>Муниципальное дошкольное образовательное учреждение Центр развития ребенка -Детский сад № 49</t>
  </si>
  <si>
    <t>Муниципальное дошкольное образовательное учреждение Детский сад общеразвивающего вида №50</t>
  </si>
  <si>
    <t>Муниципальное дошкольное образовательное учреждение "Детский сад №56"</t>
  </si>
  <si>
    <t>Муниципальное дошкольное образовательное учреждение Детский сад комбинированного вида № 60</t>
  </si>
  <si>
    <t>Муниципальное дошкольное образовательное учреждение "Детский сад комбинированного вида № 61"</t>
  </si>
  <si>
    <t>Муниципальное дошкольное образовательное учреждение Детский сад комбинированного вида №66</t>
  </si>
  <si>
    <t>Муниципальное дошкольное образовательное учреждение Детский сад комбинированного вида № 67</t>
  </si>
  <si>
    <t>Муниципальное дошкольное образовательное учреждение Детский сад комбинированного вида № 77</t>
  </si>
  <si>
    <t>Муниципальное дошкольное образовательное учреждение Детский сад комбинированного вида №79</t>
  </si>
  <si>
    <t>Муниципальное дошкольное образовательное учреждение Детский сад № 83</t>
  </si>
  <si>
    <t>Муниципальное дошкольное образовательное учреждение "Детский сад общеразвивающего вида № 84"</t>
  </si>
  <si>
    <t xml:space="preserve">Муниципальное общеобразовательное учреждение -Прогимназия № 48 </t>
  </si>
  <si>
    <t>Муниципальное общеобразовательное учреждение Ново-Харитоновская средняя общеобразовательная школа № 10 с углубленным изучением отдельных предметов</t>
  </si>
  <si>
    <t>Муниципальное общеобразовательное учреждение Дергаевская средняя общеобразовательная школа № 23</t>
  </si>
  <si>
    <t>Муниципальное общеобразовательное учреждение Удельнинская средняя общеобразовательная школа № 34</t>
  </si>
  <si>
    <t>Муниципальное общеобразовательное учреждение Кратовская средняя общеобразовательная школа № 98</t>
  </si>
  <si>
    <t>Муниципальное учреждение дополнительного образования Раменский Центр развития творчества детей и юношества</t>
  </si>
  <si>
    <t>Присмотр и уход</t>
  </si>
  <si>
    <t>5.</t>
  </si>
  <si>
    <t>8.</t>
  </si>
  <si>
    <t>Дистанционное обучение</t>
  </si>
  <si>
    <t>Классное руководство</t>
  </si>
  <si>
    <t>Игрушки ДОУ</t>
  </si>
  <si>
    <t>по пфхд</t>
  </si>
  <si>
    <t>остатки</t>
  </si>
  <si>
    <t>з/п область</t>
  </si>
  <si>
    <t>игрушки</t>
  </si>
  <si>
    <t>26 доу</t>
  </si>
  <si>
    <t>дист.об.</t>
  </si>
  <si>
    <t>кл.рук.</t>
  </si>
  <si>
    <t>"Объем нормативных затрат на 2019 год и плановый период 2020 и 2021 годов на выполнение муниципального задания – оказание муниципальных услуг (выполнение работ) и содержание имущества муниципальных бюджетных учреждений, находящихся в ведомственном подчинении Комитета по образованию Администрации Раменского муниципального района Московской области</t>
  </si>
  <si>
    <t>Приложение  к постановлению Администрации Раменского муниципального района                                  Московской области                                     от__27.03.2019___ №___2720___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</si>
</sst>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#,##0.0"/>
  </numFmts>
  <fonts count="27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241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4" fontId="2" fillId="2" borderId="1" xfId="0" applyNumberFormat="1" applyFont="1" applyFill="1" applyBorder="1" applyAlignment="1">
      <alignment horizontal="center" vertical="center" wrapText="1"/>
    </xf>
    <xf numFmtId="165" fontId="4" fillId="2" borderId="1" xfId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4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165" fontId="4" fillId="3" borderId="1" xfId="1" applyFont="1" applyFill="1" applyBorder="1" applyAlignment="1">
      <alignment horizontal="center" vertical="center" wrapText="1"/>
    </xf>
    <xf numFmtId="165" fontId="4" fillId="3" borderId="1" xfId="1" applyFont="1" applyFill="1" applyBorder="1" applyAlignment="1">
      <alignment horizontal="center" vertical="center"/>
    </xf>
    <xf numFmtId="0" fontId="0" fillId="3" borderId="0" xfId="0" applyFill="1"/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165" fontId="4" fillId="4" borderId="1" xfId="1" applyFont="1" applyFill="1" applyBorder="1" applyAlignment="1">
      <alignment horizontal="center" vertical="center" wrapText="1"/>
    </xf>
    <xf numFmtId="165" fontId="4" fillId="4" borderId="1" xfId="1" applyFont="1" applyFill="1" applyBorder="1" applyAlignment="1">
      <alignment horizontal="center" vertical="center"/>
    </xf>
    <xf numFmtId="0" fontId="0" fillId="4" borderId="0" xfId="0" applyFill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15" fillId="2" borderId="1" xfId="0" applyFont="1" applyFill="1" applyBorder="1" applyAlignment="1">
      <alignment vertical="top" wrapText="1"/>
    </xf>
    <xf numFmtId="165" fontId="0" fillId="2" borderId="1" xfId="1" applyFont="1" applyFill="1" applyBorder="1"/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left" vertical="top" wrapText="1"/>
    </xf>
    <xf numFmtId="165" fontId="5" fillId="2" borderId="1" xfId="1" applyFont="1" applyFill="1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vertical="top" wrapText="1"/>
    </xf>
    <xf numFmtId="49" fontId="14" fillId="2" borderId="1" xfId="0" applyNumberFormat="1" applyFont="1" applyFill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0" fillId="2" borderId="0" xfId="0" applyFont="1" applyFill="1"/>
    <xf numFmtId="0" fontId="10" fillId="0" borderId="0" xfId="0" applyFont="1"/>
    <xf numFmtId="4" fontId="10" fillId="0" borderId="0" xfId="0" applyNumberFormat="1" applyFont="1" applyAlignment="1">
      <alignment horizontal="center" vertical="center"/>
    </xf>
    <xf numFmtId="4" fontId="10" fillId="2" borderId="1" xfId="1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Border="1" applyAlignment="1">
      <alignment horizontal="center" vertical="center" wrapText="1"/>
    </xf>
    <xf numFmtId="4" fontId="23" fillId="2" borderId="0" xfId="0" applyNumberFormat="1" applyFont="1" applyFill="1" applyBorder="1" applyAlignment="1">
      <alignment horizontal="center" vertical="center"/>
    </xf>
    <xf numFmtId="4" fontId="24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5" borderId="0" xfId="0" applyNumberFormat="1" applyFill="1"/>
    <xf numFmtId="4" fontId="0" fillId="6" borderId="0" xfId="0" applyNumberFormat="1" applyFill="1"/>
    <xf numFmtId="4" fontId="0" fillId="7" borderId="0" xfId="0" applyNumberFormat="1" applyFill="1"/>
    <xf numFmtId="4" fontId="0" fillId="8" borderId="0" xfId="0" applyNumberFormat="1" applyFill="1"/>
    <xf numFmtId="4" fontId="0" fillId="9" borderId="0" xfId="0" applyNumberFormat="1" applyFill="1"/>
    <xf numFmtId="4" fontId="0" fillId="10" borderId="0" xfId="0" applyNumberFormat="1" applyFill="1"/>
    <xf numFmtId="4" fontId="0" fillId="11" borderId="0" xfId="0" applyNumberFormat="1" applyFill="1"/>
    <xf numFmtId="4" fontId="6" fillId="12" borderId="0" xfId="0" applyNumberFormat="1" applyFont="1" applyFill="1"/>
    <xf numFmtId="49" fontId="15" fillId="0" borderId="1" xfId="0" applyNumberFormat="1" applyFont="1" applyFill="1" applyBorder="1" applyAlignment="1">
      <alignment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0" fillId="13" borderId="0" xfId="0" applyNumberFormat="1" applyFill="1"/>
    <xf numFmtId="4" fontId="0" fillId="14" borderId="0" xfId="0" applyNumberFormat="1" applyFill="1"/>
    <xf numFmtId="4" fontId="0" fillId="15" borderId="0" xfId="0" applyNumberFormat="1" applyFill="1"/>
    <xf numFmtId="4" fontId="10" fillId="2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0" fillId="0" borderId="0" xfId="0" applyFont="1" applyFill="1" applyAlignment="1">
      <alignment wrapText="1"/>
    </xf>
    <xf numFmtId="4" fontId="10" fillId="0" borderId="0" xfId="0" applyNumberFormat="1" applyFont="1" applyFill="1" applyAlignment="1">
      <alignment horizontal="right" vertical="top" wrapText="1"/>
    </xf>
    <xf numFmtId="0" fontId="8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165" fontId="0" fillId="0" borderId="1" xfId="1" applyFont="1" applyFill="1" applyBorder="1"/>
    <xf numFmtId="4" fontId="0" fillId="0" borderId="1" xfId="0" applyNumberFormat="1" applyFont="1" applyFill="1" applyBorder="1"/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/>
    <xf numFmtId="0" fontId="5" fillId="0" borderId="0" xfId="0" applyFont="1" applyFill="1"/>
    <xf numFmtId="4" fontId="12" fillId="0" borderId="1" xfId="0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vertical="center"/>
    </xf>
    <xf numFmtId="165" fontId="14" fillId="0" borderId="1" xfId="1" applyFont="1" applyFill="1" applyBorder="1" applyAlignment="1">
      <alignment vertical="center"/>
    </xf>
    <xf numFmtId="165" fontId="14" fillId="0" borderId="1" xfId="1" applyFont="1" applyFill="1" applyBorder="1" applyAlignment="1">
      <alignment horizontal="center" vertical="center"/>
    </xf>
    <xf numFmtId="165" fontId="5" fillId="0" borderId="1" xfId="1" applyFont="1" applyFill="1" applyBorder="1"/>
    <xf numFmtId="165" fontId="17" fillId="0" borderId="1" xfId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/>
    </xf>
    <xf numFmtId="4" fontId="0" fillId="0" borderId="1" xfId="0" applyNumberFormat="1" applyFill="1" applyBorder="1"/>
    <xf numFmtId="165" fontId="3" fillId="0" borderId="1" xfId="1" applyFont="1" applyFill="1" applyBorder="1"/>
    <xf numFmtId="3" fontId="15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/>
    <xf numFmtId="0" fontId="19" fillId="0" borderId="5" xfId="0" applyFont="1" applyFill="1" applyBorder="1" applyAlignment="1">
      <alignment horizontal="center" vertical="center"/>
    </xf>
    <xf numFmtId="165" fontId="5" fillId="0" borderId="1" xfId="1" applyFont="1" applyFill="1" applyBorder="1" applyAlignment="1">
      <alignment horizontal="center" vertical="center"/>
    </xf>
    <xf numFmtId="165" fontId="3" fillId="0" borderId="1" xfId="1" applyFont="1" applyFill="1" applyBorder="1" applyAlignment="1">
      <alignment horizontal="center" vertical="center"/>
    </xf>
    <xf numFmtId="0" fontId="6" fillId="0" borderId="0" xfId="0" applyFont="1" applyFill="1"/>
    <xf numFmtId="2" fontId="15" fillId="0" borderId="1" xfId="0" applyNumberFormat="1" applyFont="1" applyFill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65" fontId="20" fillId="0" borderId="5" xfId="1" applyFont="1" applyFill="1" applyBorder="1" applyAlignment="1">
      <alignment horizontal="center" vertical="center"/>
    </xf>
    <xf numFmtId="165" fontId="0" fillId="0" borderId="0" xfId="0" applyNumberFormat="1" applyFill="1"/>
    <xf numFmtId="1" fontId="15" fillId="0" borderId="1" xfId="0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 wrapText="1"/>
    </xf>
    <xf numFmtId="4" fontId="13" fillId="0" borderId="1" xfId="1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/>
    </xf>
    <xf numFmtId="165" fontId="0" fillId="0" borderId="1" xfId="1" applyFont="1" applyFill="1" applyBorder="1" applyAlignment="1">
      <alignment horizontal="center" vertical="center"/>
    </xf>
    <xf numFmtId="4" fontId="0" fillId="0" borderId="1" xfId="1" applyNumberFormat="1" applyFont="1" applyFill="1" applyBorder="1"/>
    <xf numFmtId="4" fontId="17" fillId="0" borderId="1" xfId="1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/>
    <xf numFmtId="1" fontId="14" fillId="0" borderId="1" xfId="0" applyNumberFormat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4" fontId="6" fillId="0" borderId="0" xfId="0" applyNumberFormat="1" applyFont="1" applyFill="1" applyAlignment="1">
      <alignment horizontal="center"/>
    </xf>
    <xf numFmtId="3" fontId="0" fillId="0" borderId="0" xfId="0" applyNumberFormat="1" applyFill="1"/>
    <xf numFmtId="3" fontId="6" fillId="0" borderId="0" xfId="0" applyNumberFormat="1" applyFont="1" applyFill="1" applyAlignment="1">
      <alignment horizontal="center"/>
    </xf>
    <xf numFmtId="165" fontId="0" fillId="0" borderId="0" xfId="1" applyFont="1" applyFill="1"/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20" fillId="0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165" fontId="17" fillId="0" borderId="5" xfId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4" fontId="17" fillId="0" borderId="5" xfId="1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/>
    <xf numFmtId="165" fontId="5" fillId="0" borderId="0" xfId="0" applyNumberFormat="1" applyFont="1" applyFill="1"/>
    <xf numFmtId="165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4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4" fillId="0" borderId="2" xfId="0" applyFont="1" applyFill="1" applyBorder="1" applyAlignment="1">
      <alignment vertical="top" wrapText="1"/>
    </xf>
    <xf numFmtId="4" fontId="18" fillId="0" borderId="0" xfId="0" applyNumberFormat="1" applyFont="1" applyFill="1" applyAlignment="1">
      <alignment horizontal="right" vertical="top" wrapText="1"/>
    </xf>
    <xf numFmtId="0" fontId="21" fillId="0" borderId="5" xfId="0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1" fillId="0" borderId="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3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0" fontId="10" fillId="0" borderId="2" xfId="0" applyFont="1" applyBorder="1" applyAlignment="1">
      <alignment vertical="top"/>
    </xf>
    <xf numFmtId="0" fontId="2" fillId="2" borderId="3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9"/>
  <sheetViews>
    <sheetView view="pageBreakPreview" topLeftCell="A4" zoomScale="80" zoomScaleSheetLayoutView="80" workbookViewId="0">
      <selection activeCell="D129" sqref="D66:D129"/>
    </sheetView>
  </sheetViews>
  <sheetFormatPr defaultRowHeight="15" x14ac:dyDescent="0.25"/>
  <cols>
    <col min="1" max="1" width="9.140625" style="4"/>
    <col min="2" max="2" width="21.42578125" style="4" customWidth="1"/>
    <col min="3" max="3" width="36.28515625" style="4" customWidth="1"/>
    <col min="4" max="4" width="9" style="4" customWidth="1"/>
    <col min="5" max="5" width="11.42578125" style="4" customWidth="1"/>
    <col min="6" max="6" width="16.7109375" style="4" customWidth="1"/>
    <col min="7" max="7" width="17.42578125" style="4" customWidth="1"/>
    <col min="8" max="9" width="18.28515625" style="4" customWidth="1"/>
    <col min="10" max="10" width="9.140625" style="3"/>
    <col min="11" max="11" width="9.85546875" style="4" bestFit="1" customWidth="1"/>
    <col min="12" max="245" width="9.140625" style="4"/>
    <col min="246" max="246" width="21.42578125" style="4" customWidth="1"/>
    <col min="247" max="247" width="36.28515625" style="4" customWidth="1"/>
    <col min="248" max="248" width="9" style="4" customWidth="1"/>
    <col min="249" max="249" width="11.42578125" style="4" customWidth="1"/>
    <col min="250" max="250" width="16.7109375" style="4" customWidth="1"/>
    <col min="251" max="251" width="17.42578125" style="4" customWidth="1"/>
    <col min="252" max="252" width="18.28515625" style="4" customWidth="1"/>
    <col min="253" max="501" width="9.140625" style="4"/>
    <col min="502" max="502" width="21.42578125" style="4" customWidth="1"/>
    <col min="503" max="503" width="36.28515625" style="4" customWidth="1"/>
    <col min="504" max="504" width="9" style="4" customWidth="1"/>
    <col min="505" max="505" width="11.42578125" style="4" customWidth="1"/>
    <col min="506" max="506" width="16.7109375" style="4" customWidth="1"/>
    <col min="507" max="507" width="17.42578125" style="4" customWidth="1"/>
    <col min="508" max="508" width="18.28515625" style="4" customWidth="1"/>
    <col min="509" max="757" width="9.140625" style="4"/>
    <col min="758" max="758" width="21.42578125" style="4" customWidth="1"/>
    <col min="759" max="759" width="36.28515625" style="4" customWidth="1"/>
    <col min="760" max="760" width="9" style="4" customWidth="1"/>
    <col min="761" max="761" width="11.42578125" style="4" customWidth="1"/>
    <col min="762" max="762" width="16.7109375" style="4" customWidth="1"/>
    <col min="763" max="763" width="17.42578125" style="4" customWidth="1"/>
    <col min="764" max="764" width="18.28515625" style="4" customWidth="1"/>
    <col min="765" max="1013" width="9.140625" style="4"/>
    <col min="1014" max="1014" width="21.42578125" style="4" customWidth="1"/>
    <col min="1015" max="1015" width="36.28515625" style="4" customWidth="1"/>
    <col min="1016" max="1016" width="9" style="4" customWidth="1"/>
    <col min="1017" max="1017" width="11.42578125" style="4" customWidth="1"/>
    <col min="1018" max="1018" width="16.7109375" style="4" customWidth="1"/>
    <col min="1019" max="1019" width="17.42578125" style="4" customWidth="1"/>
    <col min="1020" max="1020" width="18.28515625" style="4" customWidth="1"/>
    <col min="1021" max="1269" width="9.140625" style="4"/>
    <col min="1270" max="1270" width="21.42578125" style="4" customWidth="1"/>
    <col min="1271" max="1271" width="36.28515625" style="4" customWidth="1"/>
    <col min="1272" max="1272" width="9" style="4" customWidth="1"/>
    <col min="1273" max="1273" width="11.42578125" style="4" customWidth="1"/>
    <col min="1274" max="1274" width="16.7109375" style="4" customWidth="1"/>
    <col min="1275" max="1275" width="17.42578125" style="4" customWidth="1"/>
    <col min="1276" max="1276" width="18.28515625" style="4" customWidth="1"/>
    <col min="1277" max="1525" width="9.140625" style="4"/>
    <col min="1526" max="1526" width="21.42578125" style="4" customWidth="1"/>
    <col min="1527" max="1527" width="36.28515625" style="4" customWidth="1"/>
    <col min="1528" max="1528" width="9" style="4" customWidth="1"/>
    <col min="1529" max="1529" width="11.42578125" style="4" customWidth="1"/>
    <col min="1530" max="1530" width="16.7109375" style="4" customWidth="1"/>
    <col min="1531" max="1531" width="17.42578125" style="4" customWidth="1"/>
    <col min="1532" max="1532" width="18.28515625" style="4" customWidth="1"/>
    <col min="1533" max="1781" width="9.140625" style="4"/>
    <col min="1782" max="1782" width="21.42578125" style="4" customWidth="1"/>
    <col min="1783" max="1783" width="36.28515625" style="4" customWidth="1"/>
    <col min="1784" max="1784" width="9" style="4" customWidth="1"/>
    <col min="1785" max="1785" width="11.42578125" style="4" customWidth="1"/>
    <col min="1786" max="1786" width="16.7109375" style="4" customWidth="1"/>
    <col min="1787" max="1787" width="17.42578125" style="4" customWidth="1"/>
    <col min="1788" max="1788" width="18.28515625" style="4" customWidth="1"/>
    <col min="1789" max="2037" width="9.140625" style="4"/>
    <col min="2038" max="2038" width="21.42578125" style="4" customWidth="1"/>
    <col min="2039" max="2039" width="36.28515625" style="4" customWidth="1"/>
    <col min="2040" max="2040" width="9" style="4" customWidth="1"/>
    <col min="2041" max="2041" width="11.42578125" style="4" customWidth="1"/>
    <col min="2042" max="2042" width="16.7109375" style="4" customWidth="1"/>
    <col min="2043" max="2043" width="17.42578125" style="4" customWidth="1"/>
    <col min="2044" max="2044" width="18.28515625" style="4" customWidth="1"/>
    <col min="2045" max="2293" width="9.140625" style="4"/>
    <col min="2294" max="2294" width="21.42578125" style="4" customWidth="1"/>
    <col min="2295" max="2295" width="36.28515625" style="4" customWidth="1"/>
    <col min="2296" max="2296" width="9" style="4" customWidth="1"/>
    <col min="2297" max="2297" width="11.42578125" style="4" customWidth="1"/>
    <col min="2298" max="2298" width="16.7109375" style="4" customWidth="1"/>
    <col min="2299" max="2299" width="17.42578125" style="4" customWidth="1"/>
    <col min="2300" max="2300" width="18.28515625" style="4" customWidth="1"/>
    <col min="2301" max="2549" width="9.140625" style="4"/>
    <col min="2550" max="2550" width="21.42578125" style="4" customWidth="1"/>
    <col min="2551" max="2551" width="36.28515625" style="4" customWidth="1"/>
    <col min="2552" max="2552" width="9" style="4" customWidth="1"/>
    <col min="2553" max="2553" width="11.42578125" style="4" customWidth="1"/>
    <col min="2554" max="2554" width="16.7109375" style="4" customWidth="1"/>
    <col min="2555" max="2555" width="17.42578125" style="4" customWidth="1"/>
    <col min="2556" max="2556" width="18.28515625" style="4" customWidth="1"/>
    <col min="2557" max="2805" width="9.140625" style="4"/>
    <col min="2806" max="2806" width="21.42578125" style="4" customWidth="1"/>
    <col min="2807" max="2807" width="36.28515625" style="4" customWidth="1"/>
    <col min="2808" max="2808" width="9" style="4" customWidth="1"/>
    <col min="2809" max="2809" width="11.42578125" style="4" customWidth="1"/>
    <col min="2810" max="2810" width="16.7109375" style="4" customWidth="1"/>
    <col min="2811" max="2811" width="17.42578125" style="4" customWidth="1"/>
    <col min="2812" max="2812" width="18.28515625" style="4" customWidth="1"/>
    <col min="2813" max="3061" width="9.140625" style="4"/>
    <col min="3062" max="3062" width="21.42578125" style="4" customWidth="1"/>
    <col min="3063" max="3063" width="36.28515625" style="4" customWidth="1"/>
    <col min="3064" max="3064" width="9" style="4" customWidth="1"/>
    <col min="3065" max="3065" width="11.42578125" style="4" customWidth="1"/>
    <col min="3066" max="3066" width="16.7109375" style="4" customWidth="1"/>
    <col min="3067" max="3067" width="17.42578125" style="4" customWidth="1"/>
    <col min="3068" max="3068" width="18.28515625" style="4" customWidth="1"/>
    <col min="3069" max="3317" width="9.140625" style="4"/>
    <col min="3318" max="3318" width="21.42578125" style="4" customWidth="1"/>
    <col min="3319" max="3319" width="36.28515625" style="4" customWidth="1"/>
    <col min="3320" max="3320" width="9" style="4" customWidth="1"/>
    <col min="3321" max="3321" width="11.42578125" style="4" customWidth="1"/>
    <col min="3322" max="3322" width="16.7109375" style="4" customWidth="1"/>
    <col min="3323" max="3323" width="17.42578125" style="4" customWidth="1"/>
    <col min="3324" max="3324" width="18.28515625" style="4" customWidth="1"/>
    <col min="3325" max="3573" width="9.140625" style="4"/>
    <col min="3574" max="3574" width="21.42578125" style="4" customWidth="1"/>
    <col min="3575" max="3575" width="36.28515625" style="4" customWidth="1"/>
    <col min="3576" max="3576" width="9" style="4" customWidth="1"/>
    <col min="3577" max="3577" width="11.42578125" style="4" customWidth="1"/>
    <col min="3578" max="3578" width="16.7109375" style="4" customWidth="1"/>
    <col min="3579" max="3579" width="17.42578125" style="4" customWidth="1"/>
    <col min="3580" max="3580" width="18.28515625" style="4" customWidth="1"/>
    <col min="3581" max="3829" width="9.140625" style="4"/>
    <col min="3830" max="3830" width="21.42578125" style="4" customWidth="1"/>
    <col min="3831" max="3831" width="36.28515625" style="4" customWidth="1"/>
    <col min="3832" max="3832" width="9" style="4" customWidth="1"/>
    <col min="3833" max="3833" width="11.42578125" style="4" customWidth="1"/>
    <col min="3834" max="3834" width="16.7109375" style="4" customWidth="1"/>
    <col min="3835" max="3835" width="17.42578125" style="4" customWidth="1"/>
    <col min="3836" max="3836" width="18.28515625" style="4" customWidth="1"/>
    <col min="3837" max="4085" width="9.140625" style="4"/>
    <col min="4086" max="4086" width="21.42578125" style="4" customWidth="1"/>
    <col min="4087" max="4087" width="36.28515625" style="4" customWidth="1"/>
    <col min="4088" max="4088" width="9" style="4" customWidth="1"/>
    <col min="4089" max="4089" width="11.42578125" style="4" customWidth="1"/>
    <col min="4090" max="4090" width="16.7109375" style="4" customWidth="1"/>
    <col min="4091" max="4091" width="17.42578125" style="4" customWidth="1"/>
    <col min="4092" max="4092" width="18.28515625" style="4" customWidth="1"/>
    <col min="4093" max="4341" width="9.140625" style="4"/>
    <col min="4342" max="4342" width="21.42578125" style="4" customWidth="1"/>
    <col min="4343" max="4343" width="36.28515625" style="4" customWidth="1"/>
    <col min="4344" max="4344" width="9" style="4" customWidth="1"/>
    <col min="4345" max="4345" width="11.42578125" style="4" customWidth="1"/>
    <col min="4346" max="4346" width="16.7109375" style="4" customWidth="1"/>
    <col min="4347" max="4347" width="17.42578125" style="4" customWidth="1"/>
    <col min="4348" max="4348" width="18.28515625" style="4" customWidth="1"/>
    <col min="4349" max="4597" width="9.140625" style="4"/>
    <col min="4598" max="4598" width="21.42578125" style="4" customWidth="1"/>
    <col min="4599" max="4599" width="36.28515625" style="4" customWidth="1"/>
    <col min="4600" max="4600" width="9" style="4" customWidth="1"/>
    <col min="4601" max="4601" width="11.42578125" style="4" customWidth="1"/>
    <col min="4602" max="4602" width="16.7109375" style="4" customWidth="1"/>
    <col min="4603" max="4603" width="17.42578125" style="4" customWidth="1"/>
    <col min="4604" max="4604" width="18.28515625" style="4" customWidth="1"/>
    <col min="4605" max="4853" width="9.140625" style="4"/>
    <col min="4854" max="4854" width="21.42578125" style="4" customWidth="1"/>
    <col min="4855" max="4855" width="36.28515625" style="4" customWidth="1"/>
    <col min="4856" max="4856" width="9" style="4" customWidth="1"/>
    <col min="4857" max="4857" width="11.42578125" style="4" customWidth="1"/>
    <col min="4858" max="4858" width="16.7109375" style="4" customWidth="1"/>
    <col min="4859" max="4859" width="17.42578125" style="4" customWidth="1"/>
    <col min="4860" max="4860" width="18.28515625" style="4" customWidth="1"/>
    <col min="4861" max="5109" width="9.140625" style="4"/>
    <col min="5110" max="5110" width="21.42578125" style="4" customWidth="1"/>
    <col min="5111" max="5111" width="36.28515625" style="4" customWidth="1"/>
    <col min="5112" max="5112" width="9" style="4" customWidth="1"/>
    <col min="5113" max="5113" width="11.42578125" style="4" customWidth="1"/>
    <col min="5114" max="5114" width="16.7109375" style="4" customWidth="1"/>
    <col min="5115" max="5115" width="17.42578125" style="4" customWidth="1"/>
    <col min="5116" max="5116" width="18.28515625" style="4" customWidth="1"/>
    <col min="5117" max="5365" width="9.140625" style="4"/>
    <col min="5366" max="5366" width="21.42578125" style="4" customWidth="1"/>
    <col min="5367" max="5367" width="36.28515625" style="4" customWidth="1"/>
    <col min="5368" max="5368" width="9" style="4" customWidth="1"/>
    <col min="5369" max="5369" width="11.42578125" style="4" customWidth="1"/>
    <col min="5370" max="5370" width="16.7109375" style="4" customWidth="1"/>
    <col min="5371" max="5371" width="17.42578125" style="4" customWidth="1"/>
    <col min="5372" max="5372" width="18.28515625" style="4" customWidth="1"/>
    <col min="5373" max="5621" width="9.140625" style="4"/>
    <col min="5622" max="5622" width="21.42578125" style="4" customWidth="1"/>
    <col min="5623" max="5623" width="36.28515625" style="4" customWidth="1"/>
    <col min="5624" max="5624" width="9" style="4" customWidth="1"/>
    <col min="5625" max="5625" width="11.42578125" style="4" customWidth="1"/>
    <col min="5626" max="5626" width="16.7109375" style="4" customWidth="1"/>
    <col min="5627" max="5627" width="17.42578125" style="4" customWidth="1"/>
    <col min="5628" max="5628" width="18.28515625" style="4" customWidth="1"/>
    <col min="5629" max="5877" width="9.140625" style="4"/>
    <col min="5878" max="5878" width="21.42578125" style="4" customWidth="1"/>
    <col min="5879" max="5879" width="36.28515625" style="4" customWidth="1"/>
    <col min="5880" max="5880" width="9" style="4" customWidth="1"/>
    <col min="5881" max="5881" width="11.42578125" style="4" customWidth="1"/>
    <col min="5882" max="5882" width="16.7109375" style="4" customWidth="1"/>
    <col min="5883" max="5883" width="17.42578125" style="4" customWidth="1"/>
    <col min="5884" max="5884" width="18.28515625" style="4" customWidth="1"/>
    <col min="5885" max="6133" width="9.140625" style="4"/>
    <col min="6134" max="6134" width="21.42578125" style="4" customWidth="1"/>
    <col min="6135" max="6135" width="36.28515625" style="4" customWidth="1"/>
    <col min="6136" max="6136" width="9" style="4" customWidth="1"/>
    <col min="6137" max="6137" width="11.42578125" style="4" customWidth="1"/>
    <col min="6138" max="6138" width="16.7109375" style="4" customWidth="1"/>
    <col min="6139" max="6139" width="17.42578125" style="4" customWidth="1"/>
    <col min="6140" max="6140" width="18.28515625" style="4" customWidth="1"/>
    <col min="6141" max="6389" width="9.140625" style="4"/>
    <col min="6390" max="6390" width="21.42578125" style="4" customWidth="1"/>
    <col min="6391" max="6391" width="36.28515625" style="4" customWidth="1"/>
    <col min="6392" max="6392" width="9" style="4" customWidth="1"/>
    <col min="6393" max="6393" width="11.42578125" style="4" customWidth="1"/>
    <col min="6394" max="6394" width="16.7109375" style="4" customWidth="1"/>
    <col min="6395" max="6395" width="17.42578125" style="4" customWidth="1"/>
    <col min="6396" max="6396" width="18.28515625" style="4" customWidth="1"/>
    <col min="6397" max="6645" width="9.140625" style="4"/>
    <col min="6646" max="6646" width="21.42578125" style="4" customWidth="1"/>
    <col min="6647" max="6647" width="36.28515625" style="4" customWidth="1"/>
    <col min="6648" max="6648" width="9" style="4" customWidth="1"/>
    <col min="6649" max="6649" width="11.42578125" style="4" customWidth="1"/>
    <col min="6650" max="6650" width="16.7109375" style="4" customWidth="1"/>
    <col min="6651" max="6651" width="17.42578125" style="4" customWidth="1"/>
    <col min="6652" max="6652" width="18.28515625" style="4" customWidth="1"/>
    <col min="6653" max="6901" width="9.140625" style="4"/>
    <col min="6902" max="6902" width="21.42578125" style="4" customWidth="1"/>
    <col min="6903" max="6903" width="36.28515625" style="4" customWidth="1"/>
    <col min="6904" max="6904" width="9" style="4" customWidth="1"/>
    <col min="6905" max="6905" width="11.42578125" style="4" customWidth="1"/>
    <col min="6906" max="6906" width="16.7109375" style="4" customWidth="1"/>
    <col min="6907" max="6907" width="17.42578125" style="4" customWidth="1"/>
    <col min="6908" max="6908" width="18.28515625" style="4" customWidth="1"/>
    <col min="6909" max="7157" width="9.140625" style="4"/>
    <col min="7158" max="7158" width="21.42578125" style="4" customWidth="1"/>
    <col min="7159" max="7159" width="36.28515625" style="4" customWidth="1"/>
    <col min="7160" max="7160" width="9" style="4" customWidth="1"/>
    <col min="7161" max="7161" width="11.42578125" style="4" customWidth="1"/>
    <col min="7162" max="7162" width="16.7109375" style="4" customWidth="1"/>
    <col min="7163" max="7163" width="17.42578125" style="4" customWidth="1"/>
    <col min="7164" max="7164" width="18.28515625" style="4" customWidth="1"/>
    <col min="7165" max="7413" width="9.140625" style="4"/>
    <col min="7414" max="7414" width="21.42578125" style="4" customWidth="1"/>
    <col min="7415" max="7415" width="36.28515625" style="4" customWidth="1"/>
    <col min="7416" max="7416" width="9" style="4" customWidth="1"/>
    <col min="7417" max="7417" width="11.42578125" style="4" customWidth="1"/>
    <col min="7418" max="7418" width="16.7109375" style="4" customWidth="1"/>
    <col min="7419" max="7419" width="17.42578125" style="4" customWidth="1"/>
    <col min="7420" max="7420" width="18.28515625" style="4" customWidth="1"/>
    <col min="7421" max="7669" width="9.140625" style="4"/>
    <col min="7670" max="7670" width="21.42578125" style="4" customWidth="1"/>
    <col min="7671" max="7671" width="36.28515625" style="4" customWidth="1"/>
    <col min="7672" max="7672" width="9" style="4" customWidth="1"/>
    <col min="7673" max="7673" width="11.42578125" style="4" customWidth="1"/>
    <col min="7674" max="7674" width="16.7109375" style="4" customWidth="1"/>
    <col min="7675" max="7675" width="17.42578125" style="4" customWidth="1"/>
    <col min="7676" max="7676" width="18.28515625" style="4" customWidth="1"/>
    <col min="7677" max="7925" width="9.140625" style="4"/>
    <col min="7926" max="7926" width="21.42578125" style="4" customWidth="1"/>
    <col min="7927" max="7927" width="36.28515625" style="4" customWidth="1"/>
    <col min="7928" max="7928" width="9" style="4" customWidth="1"/>
    <col min="7929" max="7929" width="11.42578125" style="4" customWidth="1"/>
    <col min="7930" max="7930" width="16.7109375" style="4" customWidth="1"/>
    <col min="7931" max="7931" width="17.42578125" style="4" customWidth="1"/>
    <col min="7932" max="7932" width="18.28515625" style="4" customWidth="1"/>
    <col min="7933" max="8181" width="9.140625" style="4"/>
    <col min="8182" max="8182" width="21.42578125" style="4" customWidth="1"/>
    <col min="8183" max="8183" width="36.28515625" style="4" customWidth="1"/>
    <col min="8184" max="8184" width="9" style="4" customWidth="1"/>
    <col min="8185" max="8185" width="11.42578125" style="4" customWidth="1"/>
    <col min="8186" max="8186" width="16.7109375" style="4" customWidth="1"/>
    <col min="8187" max="8187" width="17.42578125" style="4" customWidth="1"/>
    <col min="8188" max="8188" width="18.28515625" style="4" customWidth="1"/>
    <col min="8189" max="8437" width="9.140625" style="4"/>
    <col min="8438" max="8438" width="21.42578125" style="4" customWidth="1"/>
    <col min="8439" max="8439" width="36.28515625" style="4" customWidth="1"/>
    <col min="8440" max="8440" width="9" style="4" customWidth="1"/>
    <col min="8441" max="8441" width="11.42578125" style="4" customWidth="1"/>
    <col min="8442" max="8442" width="16.7109375" style="4" customWidth="1"/>
    <col min="8443" max="8443" width="17.42578125" style="4" customWidth="1"/>
    <col min="8444" max="8444" width="18.28515625" style="4" customWidth="1"/>
    <col min="8445" max="8693" width="9.140625" style="4"/>
    <col min="8694" max="8694" width="21.42578125" style="4" customWidth="1"/>
    <col min="8695" max="8695" width="36.28515625" style="4" customWidth="1"/>
    <col min="8696" max="8696" width="9" style="4" customWidth="1"/>
    <col min="8697" max="8697" width="11.42578125" style="4" customWidth="1"/>
    <col min="8698" max="8698" width="16.7109375" style="4" customWidth="1"/>
    <col min="8699" max="8699" width="17.42578125" style="4" customWidth="1"/>
    <col min="8700" max="8700" width="18.28515625" style="4" customWidth="1"/>
    <col min="8701" max="8949" width="9.140625" style="4"/>
    <col min="8950" max="8950" width="21.42578125" style="4" customWidth="1"/>
    <col min="8951" max="8951" width="36.28515625" style="4" customWidth="1"/>
    <col min="8952" max="8952" width="9" style="4" customWidth="1"/>
    <col min="8953" max="8953" width="11.42578125" style="4" customWidth="1"/>
    <col min="8954" max="8954" width="16.7109375" style="4" customWidth="1"/>
    <col min="8955" max="8955" width="17.42578125" style="4" customWidth="1"/>
    <col min="8956" max="8956" width="18.28515625" style="4" customWidth="1"/>
    <col min="8957" max="9205" width="9.140625" style="4"/>
    <col min="9206" max="9206" width="21.42578125" style="4" customWidth="1"/>
    <col min="9207" max="9207" width="36.28515625" style="4" customWidth="1"/>
    <col min="9208" max="9208" width="9" style="4" customWidth="1"/>
    <col min="9209" max="9209" width="11.42578125" style="4" customWidth="1"/>
    <col min="9210" max="9210" width="16.7109375" style="4" customWidth="1"/>
    <col min="9211" max="9211" width="17.42578125" style="4" customWidth="1"/>
    <col min="9212" max="9212" width="18.28515625" style="4" customWidth="1"/>
    <col min="9213" max="9461" width="9.140625" style="4"/>
    <col min="9462" max="9462" width="21.42578125" style="4" customWidth="1"/>
    <col min="9463" max="9463" width="36.28515625" style="4" customWidth="1"/>
    <col min="9464" max="9464" width="9" style="4" customWidth="1"/>
    <col min="9465" max="9465" width="11.42578125" style="4" customWidth="1"/>
    <col min="9466" max="9466" width="16.7109375" style="4" customWidth="1"/>
    <col min="9467" max="9467" width="17.42578125" style="4" customWidth="1"/>
    <col min="9468" max="9468" width="18.28515625" style="4" customWidth="1"/>
    <col min="9469" max="9717" width="9.140625" style="4"/>
    <col min="9718" max="9718" width="21.42578125" style="4" customWidth="1"/>
    <col min="9719" max="9719" width="36.28515625" style="4" customWidth="1"/>
    <col min="9720" max="9720" width="9" style="4" customWidth="1"/>
    <col min="9721" max="9721" width="11.42578125" style="4" customWidth="1"/>
    <col min="9722" max="9722" width="16.7109375" style="4" customWidth="1"/>
    <col min="9723" max="9723" width="17.42578125" style="4" customWidth="1"/>
    <col min="9724" max="9724" width="18.28515625" style="4" customWidth="1"/>
    <col min="9725" max="9973" width="9.140625" style="4"/>
    <col min="9974" max="9974" width="21.42578125" style="4" customWidth="1"/>
    <col min="9975" max="9975" width="36.28515625" style="4" customWidth="1"/>
    <col min="9976" max="9976" width="9" style="4" customWidth="1"/>
    <col min="9977" max="9977" width="11.42578125" style="4" customWidth="1"/>
    <col min="9978" max="9978" width="16.7109375" style="4" customWidth="1"/>
    <col min="9979" max="9979" width="17.42578125" style="4" customWidth="1"/>
    <col min="9980" max="9980" width="18.28515625" style="4" customWidth="1"/>
    <col min="9981" max="10229" width="9.140625" style="4"/>
    <col min="10230" max="10230" width="21.42578125" style="4" customWidth="1"/>
    <col min="10231" max="10231" width="36.28515625" style="4" customWidth="1"/>
    <col min="10232" max="10232" width="9" style="4" customWidth="1"/>
    <col min="10233" max="10233" width="11.42578125" style="4" customWidth="1"/>
    <col min="10234" max="10234" width="16.7109375" style="4" customWidth="1"/>
    <col min="10235" max="10235" width="17.42578125" style="4" customWidth="1"/>
    <col min="10236" max="10236" width="18.28515625" style="4" customWidth="1"/>
    <col min="10237" max="10485" width="9.140625" style="4"/>
    <col min="10486" max="10486" width="21.42578125" style="4" customWidth="1"/>
    <col min="10487" max="10487" width="36.28515625" style="4" customWidth="1"/>
    <col min="10488" max="10488" width="9" style="4" customWidth="1"/>
    <col min="10489" max="10489" width="11.42578125" style="4" customWidth="1"/>
    <col min="10490" max="10490" width="16.7109375" style="4" customWidth="1"/>
    <col min="10491" max="10491" width="17.42578125" style="4" customWidth="1"/>
    <col min="10492" max="10492" width="18.28515625" style="4" customWidth="1"/>
    <col min="10493" max="10741" width="9.140625" style="4"/>
    <col min="10742" max="10742" width="21.42578125" style="4" customWidth="1"/>
    <col min="10743" max="10743" width="36.28515625" style="4" customWidth="1"/>
    <col min="10744" max="10744" width="9" style="4" customWidth="1"/>
    <col min="10745" max="10745" width="11.42578125" style="4" customWidth="1"/>
    <col min="10746" max="10746" width="16.7109375" style="4" customWidth="1"/>
    <col min="10747" max="10747" width="17.42578125" style="4" customWidth="1"/>
    <col min="10748" max="10748" width="18.28515625" style="4" customWidth="1"/>
    <col min="10749" max="10997" width="9.140625" style="4"/>
    <col min="10998" max="10998" width="21.42578125" style="4" customWidth="1"/>
    <col min="10999" max="10999" width="36.28515625" style="4" customWidth="1"/>
    <col min="11000" max="11000" width="9" style="4" customWidth="1"/>
    <col min="11001" max="11001" width="11.42578125" style="4" customWidth="1"/>
    <col min="11002" max="11002" width="16.7109375" style="4" customWidth="1"/>
    <col min="11003" max="11003" width="17.42578125" style="4" customWidth="1"/>
    <col min="11004" max="11004" width="18.28515625" style="4" customWidth="1"/>
    <col min="11005" max="11253" width="9.140625" style="4"/>
    <col min="11254" max="11254" width="21.42578125" style="4" customWidth="1"/>
    <col min="11255" max="11255" width="36.28515625" style="4" customWidth="1"/>
    <col min="11256" max="11256" width="9" style="4" customWidth="1"/>
    <col min="11257" max="11257" width="11.42578125" style="4" customWidth="1"/>
    <col min="11258" max="11258" width="16.7109375" style="4" customWidth="1"/>
    <col min="11259" max="11259" width="17.42578125" style="4" customWidth="1"/>
    <col min="11260" max="11260" width="18.28515625" style="4" customWidth="1"/>
    <col min="11261" max="11509" width="9.140625" style="4"/>
    <col min="11510" max="11510" width="21.42578125" style="4" customWidth="1"/>
    <col min="11511" max="11511" width="36.28515625" style="4" customWidth="1"/>
    <col min="11512" max="11512" width="9" style="4" customWidth="1"/>
    <col min="11513" max="11513" width="11.42578125" style="4" customWidth="1"/>
    <col min="11514" max="11514" width="16.7109375" style="4" customWidth="1"/>
    <col min="11515" max="11515" width="17.42578125" style="4" customWidth="1"/>
    <col min="11516" max="11516" width="18.28515625" style="4" customWidth="1"/>
    <col min="11517" max="11765" width="9.140625" style="4"/>
    <col min="11766" max="11766" width="21.42578125" style="4" customWidth="1"/>
    <col min="11767" max="11767" width="36.28515625" style="4" customWidth="1"/>
    <col min="11768" max="11768" width="9" style="4" customWidth="1"/>
    <col min="11769" max="11769" width="11.42578125" style="4" customWidth="1"/>
    <col min="11770" max="11770" width="16.7109375" style="4" customWidth="1"/>
    <col min="11771" max="11771" width="17.42578125" style="4" customWidth="1"/>
    <col min="11772" max="11772" width="18.28515625" style="4" customWidth="1"/>
    <col min="11773" max="12021" width="9.140625" style="4"/>
    <col min="12022" max="12022" width="21.42578125" style="4" customWidth="1"/>
    <col min="12023" max="12023" width="36.28515625" style="4" customWidth="1"/>
    <col min="12024" max="12024" width="9" style="4" customWidth="1"/>
    <col min="12025" max="12025" width="11.42578125" style="4" customWidth="1"/>
    <col min="12026" max="12026" width="16.7109375" style="4" customWidth="1"/>
    <col min="12027" max="12027" width="17.42578125" style="4" customWidth="1"/>
    <col min="12028" max="12028" width="18.28515625" style="4" customWidth="1"/>
    <col min="12029" max="12277" width="9.140625" style="4"/>
    <col min="12278" max="12278" width="21.42578125" style="4" customWidth="1"/>
    <col min="12279" max="12279" width="36.28515625" style="4" customWidth="1"/>
    <col min="12280" max="12280" width="9" style="4" customWidth="1"/>
    <col min="12281" max="12281" width="11.42578125" style="4" customWidth="1"/>
    <col min="12282" max="12282" width="16.7109375" style="4" customWidth="1"/>
    <col min="12283" max="12283" width="17.42578125" style="4" customWidth="1"/>
    <col min="12284" max="12284" width="18.28515625" style="4" customWidth="1"/>
    <col min="12285" max="12533" width="9.140625" style="4"/>
    <col min="12534" max="12534" width="21.42578125" style="4" customWidth="1"/>
    <col min="12535" max="12535" width="36.28515625" style="4" customWidth="1"/>
    <col min="12536" max="12536" width="9" style="4" customWidth="1"/>
    <col min="12537" max="12537" width="11.42578125" style="4" customWidth="1"/>
    <col min="12538" max="12538" width="16.7109375" style="4" customWidth="1"/>
    <col min="12539" max="12539" width="17.42578125" style="4" customWidth="1"/>
    <col min="12540" max="12540" width="18.28515625" style="4" customWidth="1"/>
    <col min="12541" max="12789" width="9.140625" style="4"/>
    <col min="12790" max="12790" width="21.42578125" style="4" customWidth="1"/>
    <col min="12791" max="12791" width="36.28515625" style="4" customWidth="1"/>
    <col min="12792" max="12792" width="9" style="4" customWidth="1"/>
    <col min="12793" max="12793" width="11.42578125" style="4" customWidth="1"/>
    <col min="12794" max="12794" width="16.7109375" style="4" customWidth="1"/>
    <col min="12795" max="12795" width="17.42578125" style="4" customWidth="1"/>
    <col min="12796" max="12796" width="18.28515625" style="4" customWidth="1"/>
    <col min="12797" max="13045" width="9.140625" style="4"/>
    <col min="13046" max="13046" width="21.42578125" style="4" customWidth="1"/>
    <col min="13047" max="13047" width="36.28515625" style="4" customWidth="1"/>
    <col min="13048" max="13048" width="9" style="4" customWidth="1"/>
    <col min="13049" max="13049" width="11.42578125" style="4" customWidth="1"/>
    <col min="13050" max="13050" width="16.7109375" style="4" customWidth="1"/>
    <col min="13051" max="13051" width="17.42578125" style="4" customWidth="1"/>
    <col min="13052" max="13052" width="18.28515625" style="4" customWidth="1"/>
    <col min="13053" max="13301" width="9.140625" style="4"/>
    <col min="13302" max="13302" width="21.42578125" style="4" customWidth="1"/>
    <col min="13303" max="13303" width="36.28515625" style="4" customWidth="1"/>
    <col min="13304" max="13304" width="9" style="4" customWidth="1"/>
    <col min="13305" max="13305" width="11.42578125" style="4" customWidth="1"/>
    <col min="13306" max="13306" width="16.7109375" style="4" customWidth="1"/>
    <col min="13307" max="13307" width="17.42578125" style="4" customWidth="1"/>
    <col min="13308" max="13308" width="18.28515625" style="4" customWidth="1"/>
    <col min="13309" max="13557" width="9.140625" style="4"/>
    <col min="13558" max="13558" width="21.42578125" style="4" customWidth="1"/>
    <col min="13559" max="13559" width="36.28515625" style="4" customWidth="1"/>
    <col min="13560" max="13560" width="9" style="4" customWidth="1"/>
    <col min="13561" max="13561" width="11.42578125" style="4" customWidth="1"/>
    <col min="13562" max="13562" width="16.7109375" style="4" customWidth="1"/>
    <col min="13563" max="13563" width="17.42578125" style="4" customWidth="1"/>
    <col min="13564" max="13564" width="18.28515625" style="4" customWidth="1"/>
    <col min="13565" max="13813" width="9.140625" style="4"/>
    <col min="13814" max="13814" width="21.42578125" style="4" customWidth="1"/>
    <col min="13815" max="13815" width="36.28515625" style="4" customWidth="1"/>
    <col min="13816" max="13816" width="9" style="4" customWidth="1"/>
    <col min="13817" max="13817" width="11.42578125" style="4" customWidth="1"/>
    <col min="13818" max="13818" width="16.7109375" style="4" customWidth="1"/>
    <col min="13819" max="13819" width="17.42578125" style="4" customWidth="1"/>
    <col min="13820" max="13820" width="18.28515625" style="4" customWidth="1"/>
    <col min="13821" max="14069" width="9.140625" style="4"/>
    <col min="14070" max="14070" width="21.42578125" style="4" customWidth="1"/>
    <col min="14071" max="14071" width="36.28515625" style="4" customWidth="1"/>
    <col min="14072" max="14072" width="9" style="4" customWidth="1"/>
    <col min="14073" max="14073" width="11.42578125" style="4" customWidth="1"/>
    <col min="14074" max="14074" width="16.7109375" style="4" customWidth="1"/>
    <col min="14075" max="14075" width="17.42578125" style="4" customWidth="1"/>
    <col min="14076" max="14076" width="18.28515625" style="4" customWidth="1"/>
    <col min="14077" max="14325" width="9.140625" style="4"/>
    <col min="14326" max="14326" width="21.42578125" style="4" customWidth="1"/>
    <col min="14327" max="14327" width="36.28515625" style="4" customWidth="1"/>
    <col min="14328" max="14328" width="9" style="4" customWidth="1"/>
    <col min="14329" max="14329" width="11.42578125" style="4" customWidth="1"/>
    <col min="14330" max="14330" width="16.7109375" style="4" customWidth="1"/>
    <col min="14331" max="14331" width="17.42578125" style="4" customWidth="1"/>
    <col min="14332" max="14332" width="18.28515625" style="4" customWidth="1"/>
    <col min="14333" max="14581" width="9.140625" style="4"/>
    <col min="14582" max="14582" width="21.42578125" style="4" customWidth="1"/>
    <col min="14583" max="14583" width="36.28515625" style="4" customWidth="1"/>
    <col min="14584" max="14584" width="9" style="4" customWidth="1"/>
    <col min="14585" max="14585" width="11.42578125" style="4" customWidth="1"/>
    <col min="14586" max="14586" width="16.7109375" style="4" customWidth="1"/>
    <col min="14587" max="14587" width="17.42578125" style="4" customWidth="1"/>
    <col min="14588" max="14588" width="18.28515625" style="4" customWidth="1"/>
    <col min="14589" max="14837" width="9.140625" style="4"/>
    <col min="14838" max="14838" width="21.42578125" style="4" customWidth="1"/>
    <col min="14839" max="14839" width="36.28515625" style="4" customWidth="1"/>
    <col min="14840" max="14840" width="9" style="4" customWidth="1"/>
    <col min="14841" max="14841" width="11.42578125" style="4" customWidth="1"/>
    <col min="14842" max="14842" width="16.7109375" style="4" customWidth="1"/>
    <col min="14843" max="14843" width="17.42578125" style="4" customWidth="1"/>
    <col min="14844" max="14844" width="18.28515625" style="4" customWidth="1"/>
    <col min="14845" max="15093" width="9.140625" style="4"/>
    <col min="15094" max="15094" width="21.42578125" style="4" customWidth="1"/>
    <col min="15095" max="15095" width="36.28515625" style="4" customWidth="1"/>
    <col min="15096" max="15096" width="9" style="4" customWidth="1"/>
    <col min="15097" max="15097" width="11.42578125" style="4" customWidth="1"/>
    <col min="15098" max="15098" width="16.7109375" style="4" customWidth="1"/>
    <col min="15099" max="15099" width="17.42578125" style="4" customWidth="1"/>
    <col min="15100" max="15100" width="18.28515625" style="4" customWidth="1"/>
    <col min="15101" max="15349" width="9.140625" style="4"/>
    <col min="15350" max="15350" width="21.42578125" style="4" customWidth="1"/>
    <col min="15351" max="15351" width="36.28515625" style="4" customWidth="1"/>
    <col min="15352" max="15352" width="9" style="4" customWidth="1"/>
    <col min="15353" max="15353" width="11.42578125" style="4" customWidth="1"/>
    <col min="15354" max="15354" width="16.7109375" style="4" customWidth="1"/>
    <col min="15355" max="15355" width="17.42578125" style="4" customWidth="1"/>
    <col min="15356" max="15356" width="18.28515625" style="4" customWidth="1"/>
    <col min="15357" max="15605" width="9.140625" style="4"/>
    <col min="15606" max="15606" width="21.42578125" style="4" customWidth="1"/>
    <col min="15607" max="15607" width="36.28515625" style="4" customWidth="1"/>
    <col min="15608" max="15608" width="9" style="4" customWidth="1"/>
    <col min="15609" max="15609" width="11.42578125" style="4" customWidth="1"/>
    <col min="15610" max="15610" width="16.7109375" style="4" customWidth="1"/>
    <col min="15611" max="15611" width="17.42578125" style="4" customWidth="1"/>
    <col min="15612" max="15612" width="18.28515625" style="4" customWidth="1"/>
    <col min="15613" max="15861" width="9.140625" style="4"/>
    <col min="15862" max="15862" width="21.42578125" style="4" customWidth="1"/>
    <col min="15863" max="15863" width="36.28515625" style="4" customWidth="1"/>
    <col min="15864" max="15864" width="9" style="4" customWidth="1"/>
    <col min="15865" max="15865" width="11.42578125" style="4" customWidth="1"/>
    <col min="15866" max="15866" width="16.7109375" style="4" customWidth="1"/>
    <col min="15867" max="15867" width="17.42578125" style="4" customWidth="1"/>
    <col min="15868" max="15868" width="18.28515625" style="4" customWidth="1"/>
    <col min="15869" max="16117" width="9.140625" style="4"/>
    <col min="16118" max="16118" width="21.42578125" style="4" customWidth="1"/>
    <col min="16119" max="16119" width="36.28515625" style="4" customWidth="1"/>
    <col min="16120" max="16120" width="9" style="4" customWidth="1"/>
    <col min="16121" max="16121" width="11.42578125" style="4" customWidth="1"/>
    <col min="16122" max="16122" width="16.7109375" style="4" customWidth="1"/>
    <col min="16123" max="16123" width="17.42578125" style="4" customWidth="1"/>
    <col min="16124" max="16124" width="18.28515625" style="4" customWidth="1"/>
    <col min="16125" max="16384" width="9.140625" style="4"/>
  </cols>
  <sheetData>
    <row r="1" spans="1:10" s="13" customFormat="1" ht="76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14"/>
      <c r="J1" s="12"/>
    </row>
    <row r="2" spans="1:10" ht="38.25" x14ac:dyDescent="0.25">
      <c r="A2" s="193">
        <v>1</v>
      </c>
      <c r="B2" s="193" t="s">
        <v>8</v>
      </c>
      <c r="C2" s="5" t="s">
        <v>71</v>
      </c>
      <c r="D2" s="1">
        <v>127</v>
      </c>
      <c r="E2" s="6">
        <f>F2/D2</f>
        <v>68555.905511811026</v>
      </c>
      <c r="F2" s="6">
        <f t="shared" ref="F2:F33" si="0">H2-G2</f>
        <v>8706600</v>
      </c>
      <c r="G2" s="7"/>
      <c r="H2" s="6">
        <v>8706600</v>
      </c>
      <c r="I2" s="15"/>
    </row>
    <row r="3" spans="1:10" ht="38.25" customHeight="1" x14ac:dyDescent="0.25">
      <c r="A3" s="193"/>
      <c r="B3" s="193"/>
      <c r="C3" s="8" t="s">
        <v>72</v>
      </c>
      <c r="D3" s="1">
        <v>158</v>
      </c>
      <c r="E3" s="6">
        <f t="shared" ref="E3:E67" si="1">F3/D3</f>
        <v>64584.177215189877</v>
      </c>
      <c r="F3" s="6">
        <f t="shared" si="0"/>
        <v>10204300</v>
      </c>
      <c r="G3" s="7"/>
      <c r="H3" s="6">
        <v>10204300</v>
      </c>
      <c r="I3" s="15"/>
    </row>
    <row r="4" spans="1:10" ht="38.25" x14ac:dyDescent="0.25">
      <c r="A4" s="193"/>
      <c r="B4" s="193"/>
      <c r="C4" s="8" t="s">
        <v>73</v>
      </c>
      <c r="D4" s="1">
        <v>300</v>
      </c>
      <c r="E4" s="6">
        <f t="shared" si="1"/>
        <v>74839.333333333328</v>
      </c>
      <c r="F4" s="6">
        <f t="shared" si="0"/>
        <v>22451800</v>
      </c>
      <c r="G4" s="7"/>
      <c r="H4" s="6">
        <v>22451800</v>
      </c>
      <c r="I4" s="15"/>
    </row>
    <row r="5" spans="1:10" ht="38.25" x14ac:dyDescent="0.25">
      <c r="A5" s="193"/>
      <c r="B5" s="193"/>
      <c r="C5" s="8" t="s">
        <v>14</v>
      </c>
      <c r="D5" s="1">
        <v>119</v>
      </c>
      <c r="E5" s="6">
        <f t="shared" si="1"/>
        <v>71396.638655462186</v>
      </c>
      <c r="F5" s="6">
        <f t="shared" si="0"/>
        <v>8496200</v>
      </c>
      <c r="G5" s="7"/>
      <c r="H5" s="6">
        <v>8496200</v>
      </c>
      <c r="I5" s="15"/>
    </row>
    <row r="6" spans="1:10" ht="38.25" x14ac:dyDescent="0.25">
      <c r="A6" s="193"/>
      <c r="B6" s="193"/>
      <c r="C6" s="8" t="s">
        <v>74</v>
      </c>
      <c r="D6" s="1">
        <v>41</v>
      </c>
      <c r="E6" s="6">
        <f t="shared" si="1"/>
        <v>231124.39024390245</v>
      </c>
      <c r="F6" s="6">
        <f t="shared" si="0"/>
        <v>9476100</v>
      </c>
      <c r="G6" s="7"/>
      <c r="H6" s="6">
        <v>9476100</v>
      </c>
      <c r="I6" s="15"/>
    </row>
    <row r="7" spans="1:10" ht="38.25" x14ac:dyDescent="0.25">
      <c r="A7" s="193"/>
      <c r="B7" s="193"/>
      <c r="C7" s="8" t="s">
        <v>75</v>
      </c>
      <c r="D7" s="1">
        <v>149</v>
      </c>
      <c r="E7" s="6">
        <f t="shared" si="1"/>
        <v>59679.865771812081</v>
      </c>
      <c r="F7" s="6">
        <f t="shared" si="0"/>
        <v>8892300</v>
      </c>
      <c r="G7" s="7"/>
      <c r="H7" s="6">
        <v>8892300</v>
      </c>
      <c r="I7" s="15"/>
    </row>
    <row r="8" spans="1:10" ht="38.25" x14ac:dyDescent="0.25">
      <c r="A8" s="193"/>
      <c r="B8" s="193"/>
      <c r="C8" s="8" t="s">
        <v>76</v>
      </c>
      <c r="D8" s="1">
        <v>150</v>
      </c>
      <c r="E8" s="6">
        <f t="shared" si="1"/>
        <v>82234.666666666672</v>
      </c>
      <c r="F8" s="6">
        <f t="shared" si="0"/>
        <v>12335200</v>
      </c>
      <c r="G8" s="7"/>
      <c r="H8" s="6">
        <v>12335200</v>
      </c>
      <c r="I8" s="15"/>
    </row>
    <row r="9" spans="1:10" ht="38.25" x14ac:dyDescent="0.25">
      <c r="A9" s="193"/>
      <c r="B9" s="193"/>
      <c r="C9" s="8" t="s">
        <v>139</v>
      </c>
      <c r="D9" s="1">
        <v>220</v>
      </c>
      <c r="E9" s="6">
        <f t="shared" si="1"/>
        <v>62450.909090909088</v>
      </c>
      <c r="F9" s="6">
        <f t="shared" si="0"/>
        <v>13739200</v>
      </c>
      <c r="G9" s="7"/>
      <c r="H9" s="6">
        <v>13739200</v>
      </c>
      <c r="I9" s="15"/>
    </row>
    <row r="10" spans="1:10" ht="38.25" x14ac:dyDescent="0.25">
      <c r="A10" s="193"/>
      <c r="B10" s="193"/>
      <c r="C10" s="8" t="s">
        <v>77</v>
      </c>
      <c r="D10" s="1">
        <v>100</v>
      </c>
      <c r="E10" s="6">
        <f t="shared" si="1"/>
        <v>72473</v>
      </c>
      <c r="F10" s="6">
        <f t="shared" si="0"/>
        <v>7247300</v>
      </c>
      <c r="G10" s="7"/>
      <c r="H10" s="6">
        <v>7247300</v>
      </c>
      <c r="I10" s="15"/>
    </row>
    <row r="11" spans="1:10" ht="38.25" x14ac:dyDescent="0.25">
      <c r="A11" s="193"/>
      <c r="B11" s="193"/>
      <c r="C11" s="8" t="s">
        <v>9</v>
      </c>
      <c r="D11" s="1">
        <v>155</v>
      </c>
      <c r="E11" s="6">
        <f t="shared" si="1"/>
        <v>71625.161290322576</v>
      </c>
      <c r="F11" s="6">
        <f t="shared" si="0"/>
        <v>11101900</v>
      </c>
      <c r="G11" s="7"/>
      <c r="H11" s="6">
        <v>11101900</v>
      </c>
      <c r="I11" s="15"/>
    </row>
    <row r="12" spans="1:10" ht="38.25" x14ac:dyDescent="0.25">
      <c r="A12" s="193"/>
      <c r="B12" s="193"/>
      <c r="C12" s="8" t="s">
        <v>10</v>
      </c>
      <c r="D12" s="1">
        <v>154</v>
      </c>
      <c r="E12" s="6">
        <f t="shared" si="1"/>
        <v>67551.948051948057</v>
      </c>
      <c r="F12" s="6">
        <f t="shared" si="0"/>
        <v>10403000</v>
      </c>
      <c r="G12" s="7"/>
      <c r="H12" s="6">
        <v>10403000</v>
      </c>
      <c r="I12" s="15"/>
    </row>
    <row r="13" spans="1:10" ht="38.25" x14ac:dyDescent="0.25">
      <c r="A13" s="193"/>
      <c r="B13" s="193"/>
      <c r="C13" s="8" t="s">
        <v>78</v>
      </c>
      <c r="D13" s="1">
        <v>295</v>
      </c>
      <c r="E13" s="6">
        <f t="shared" si="1"/>
        <v>75320.338983050853</v>
      </c>
      <c r="F13" s="6">
        <f t="shared" si="0"/>
        <v>22219500</v>
      </c>
      <c r="G13" s="7"/>
      <c r="H13" s="6">
        <v>22219500</v>
      </c>
      <c r="I13" s="15"/>
    </row>
    <row r="14" spans="1:10" ht="38.25" x14ac:dyDescent="0.25">
      <c r="A14" s="193"/>
      <c r="B14" s="193"/>
      <c r="C14" s="8" t="s">
        <v>79</v>
      </c>
      <c r="D14" s="1">
        <v>280</v>
      </c>
      <c r="E14" s="6">
        <f t="shared" si="1"/>
        <v>36467.857142857145</v>
      </c>
      <c r="F14" s="6">
        <f t="shared" si="0"/>
        <v>10211000</v>
      </c>
      <c r="G14" s="7"/>
      <c r="H14" s="6">
        <v>10211000</v>
      </c>
      <c r="I14" s="15"/>
    </row>
    <row r="15" spans="1:10" ht="38.25" x14ac:dyDescent="0.25">
      <c r="A15" s="193"/>
      <c r="B15" s="193"/>
      <c r="C15" s="8" t="s">
        <v>80</v>
      </c>
      <c r="D15" s="1">
        <v>120</v>
      </c>
      <c r="E15" s="6">
        <f t="shared" si="1"/>
        <v>64390.833333333336</v>
      </c>
      <c r="F15" s="6">
        <f t="shared" si="0"/>
        <v>7726900</v>
      </c>
      <c r="G15" s="7"/>
      <c r="H15" s="6">
        <v>7726900</v>
      </c>
      <c r="I15" s="15"/>
    </row>
    <row r="16" spans="1:10" ht="38.25" x14ac:dyDescent="0.25">
      <c r="A16" s="193"/>
      <c r="B16" s="193"/>
      <c r="C16" s="8" t="s">
        <v>81</v>
      </c>
      <c r="D16" s="1">
        <v>100</v>
      </c>
      <c r="E16" s="6">
        <f t="shared" si="1"/>
        <v>70243</v>
      </c>
      <c r="F16" s="6">
        <f t="shared" si="0"/>
        <v>7024300</v>
      </c>
      <c r="G16" s="7"/>
      <c r="H16" s="6">
        <v>7024300</v>
      </c>
      <c r="I16" s="15"/>
    </row>
    <row r="17" spans="1:9" ht="38.25" x14ac:dyDescent="0.25">
      <c r="A17" s="193"/>
      <c r="B17" s="193"/>
      <c r="C17" s="8" t="s">
        <v>82</v>
      </c>
      <c r="D17" s="1">
        <v>346</v>
      </c>
      <c r="E17" s="6">
        <f t="shared" si="1"/>
        <v>61984.682080924853</v>
      </c>
      <c r="F17" s="6">
        <f t="shared" si="0"/>
        <v>21446700</v>
      </c>
      <c r="G17" s="7"/>
      <c r="H17" s="6">
        <v>21446700</v>
      </c>
      <c r="I17" s="15"/>
    </row>
    <row r="18" spans="1:9" ht="38.25" x14ac:dyDescent="0.25">
      <c r="A18" s="193"/>
      <c r="B18" s="193"/>
      <c r="C18" s="8" t="s">
        <v>83</v>
      </c>
      <c r="D18" s="1">
        <v>115</v>
      </c>
      <c r="E18" s="6">
        <f t="shared" si="1"/>
        <v>47940.869565217392</v>
      </c>
      <c r="F18" s="6">
        <f t="shared" si="0"/>
        <v>5513200</v>
      </c>
      <c r="G18" s="7"/>
      <c r="H18" s="6">
        <v>5513200</v>
      </c>
      <c r="I18" s="15"/>
    </row>
    <row r="19" spans="1:9" ht="38.25" x14ac:dyDescent="0.25">
      <c r="A19" s="193"/>
      <c r="B19" s="193"/>
      <c r="C19" s="8" t="s">
        <v>84</v>
      </c>
      <c r="D19" s="1">
        <v>258</v>
      </c>
      <c r="E19" s="6">
        <f t="shared" si="1"/>
        <v>66659.689922480626</v>
      </c>
      <c r="F19" s="6">
        <f t="shared" si="0"/>
        <v>17198200</v>
      </c>
      <c r="G19" s="7"/>
      <c r="H19" s="6">
        <v>17198200</v>
      </c>
      <c r="I19" s="15"/>
    </row>
    <row r="20" spans="1:9" ht="38.25" x14ac:dyDescent="0.25">
      <c r="A20" s="193"/>
      <c r="B20" s="193"/>
      <c r="C20" s="8" t="s">
        <v>11</v>
      </c>
      <c r="D20" s="1">
        <v>70</v>
      </c>
      <c r="E20" s="6">
        <f t="shared" si="1"/>
        <v>77678.571428571435</v>
      </c>
      <c r="F20" s="6">
        <f t="shared" si="0"/>
        <v>5437500</v>
      </c>
      <c r="G20" s="7"/>
      <c r="H20" s="6">
        <v>5437500</v>
      </c>
      <c r="I20" s="15"/>
    </row>
    <row r="21" spans="1:9" ht="38.25" x14ac:dyDescent="0.25">
      <c r="A21" s="193"/>
      <c r="B21" s="193"/>
      <c r="C21" s="8" t="s">
        <v>85</v>
      </c>
      <c r="D21" s="1">
        <v>51</v>
      </c>
      <c r="E21" s="6">
        <f t="shared" si="1"/>
        <v>68578.431372549021</v>
      </c>
      <c r="F21" s="6">
        <f t="shared" si="0"/>
        <v>3497500</v>
      </c>
      <c r="G21" s="7"/>
      <c r="H21" s="6">
        <v>3497500</v>
      </c>
      <c r="I21" s="15"/>
    </row>
    <row r="22" spans="1:9" ht="38.25" x14ac:dyDescent="0.25">
      <c r="A22" s="193"/>
      <c r="B22" s="193"/>
      <c r="C22" s="8" t="s">
        <v>86</v>
      </c>
      <c r="D22" s="1">
        <v>100</v>
      </c>
      <c r="E22" s="6">
        <f t="shared" si="1"/>
        <v>59318</v>
      </c>
      <c r="F22" s="6">
        <f t="shared" si="0"/>
        <v>5931800</v>
      </c>
      <c r="G22" s="7"/>
      <c r="H22" s="6">
        <v>5931800</v>
      </c>
      <c r="I22" s="15"/>
    </row>
    <row r="23" spans="1:9" ht="38.25" x14ac:dyDescent="0.25">
      <c r="A23" s="193"/>
      <c r="B23" s="193"/>
      <c r="C23" s="8" t="s">
        <v>12</v>
      </c>
      <c r="D23" s="1">
        <v>149</v>
      </c>
      <c r="E23" s="6">
        <f t="shared" si="1"/>
        <v>90086.577181208049</v>
      </c>
      <c r="F23" s="6">
        <f t="shared" si="0"/>
        <v>13422900</v>
      </c>
      <c r="G23" s="7"/>
      <c r="H23" s="6">
        <v>13422900</v>
      </c>
      <c r="I23" s="15"/>
    </row>
    <row r="24" spans="1:9" ht="38.25" x14ac:dyDescent="0.25">
      <c r="A24" s="193"/>
      <c r="B24" s="193"/>
      <c r="C24" s="8" t="s">
        <v>87</v>
      </c>
      <c r="D24" s="1">
        <v>132</v>
      </c>
      <c r="E24" s="6">
        <f t="shared" si="1"/>
        <v>98421.969696969696</v>
      </c>
      <c r="F24" s="6">
        <f t="shared" si="0"/>
        <v>12991700</v>
      </c>
      <c r="G24" s="7"/>
      <c r="H24" s="6">
        <v>12991700</v>
      </c>
      <c r="I24" s="15"/>
    </row>
    <row r="25" spans="1:9" ht="38.25" x14ac:dyDescent="0.25">
      <c r="A25" s="193"/>
      <c r="B25" s="193"/>
      <c r="C25" s="8" t="s">
        <v>88</v>
      </c>
      <c r="D25" s="1">
        <v>140</v>
      </c>
      <c r="E25" s="6">
        <f t="shared" si="1"/>
        <v>58453.571428571428</v>
      </c>
      <c r="F25" s="6">
        <f t="shared" si="0"/>
        <v>8183500</v>
      </c>
      <c r="G25" s="7"/>
      <c r="H25" s="6">
        <v>8183500</v>
      </c>
      <c r="I25" s="15"/>
    </row>
    <row r="26" spans="1:9" ht="38.25" x14ac:dyDescent="0.25">
      <c r="A26" s="193"/>
      <c r="B26" s="193"/>
      <c r="C26" s="8" t="s">
        <v>89</v>
      </c>
      <c r="D26" s="1">
        <v>164</v>
      </c>
      <c r="E26" s="6">
        <f t="shared" si="1"/>
        <v>74542.073170731703</v>
      </c>
      <c r="F26" s="6">
        <f t="shared" si="0"/>
        <v>12224900</v>
      </c>
      <c r="G26" s="7"/>
      <c r="H26" s="6">
        <v>12224900</v>
      </c>
      <c r="I26" s="15"/>
    </row>
    <row r="27" spans="1:9" ht="38.25" x14ac:dyDescent="0.25">
      <c r="A27" s="193"/>
      <c r="B27" s="193"/>
      <c r="C27" s="8" t="s">
        <v>90</v>
      </c>
      <c r="D27" s="1">
        <v>66</v>
      </c>
      <c r="E27" s="6">
        <f t="shared" si="1"/>
        <v>85174.242424242431</v>
      </c>
      <c r="F27" s="6">
        <f t="shared" si="0"/>
        <v>5621500</v>
      </c>
      <c r="G27" s="7"/>
      <c r="H27" s="6">
        <v>5621500</v>
      </c>
      <c r="I27" s="15"/>
    </row>
    <row r="28" spans="1:9" ht="38.25" x14ac:dyDescent="0.25">
      <c r="A28" s="193"/>
      <c r="B28" s="193"/>
      <c r="C28" s="8" t="s">
        <v>91</v>
      </c>
      <c r="D28" s="1">
        <v>152</v>
      </c>
      <c r="E28" s="6">
        <f t="shared" si="1"/>
        <v>64654.605263157893</v>
      </c>
      <c r="F28" s="6">
        <f t="shared" si="0"/>
        <v>9827500</v>
      </c>
      <c r="G28" s="7"/>
      <c r="H28" s="6">
        <v>9827500</v>
      </c>
      <c r="I28" s="15"/>
    </row>
    <row r="29" spans="1:9" ht="38.25" x14ac:dyDescent="0.25">
      <c r="A29" s="193"/>
      <c r="B29" s="193"/>
      <c r="C29" s="8" t="s">
        <v>92</v>
      </c>
      <c r="D29" s="1">
        <v>100</v>
      </c>
      <c r="E29" s="6">
        <f t="shared" si="1"/>
        <v>73864</v>
      </c>
      <c r="F29" s="6">
        <f t="shared" si="0"/>
        <v>7386400</v>
      </c>
      <c r="G29" s="7"/>
      <c r="H29" s="6">
        <v>7386400</v>
      </c>
      <c r="I29" s="15"/>
    </row>
    <row r="30" spans="1:9" ht="38.25" x14ac:dyDescent="0.25">
      <c r="A30" s="193"/>
      <c r="B30" s="193"/>
      <c r="C30" s="8" t="s">
        <v>93</v>
      </c>
      <c r="D30" s="1">
        <v>255</v>
      </c>
      <c r="E30" s="6">
        <f t="shared" si="1"/>
        <v>68817.647058823524</v>
      </c>
      <c r="F30" s="6">
        <f t="shared" si="0"/>
        <v>17548500</v>
      </c>
      <c r="G30" s="7"/>
      <c r="H30" s="6">
        <v>17548500</v>
      </c>
      <c r="I30" s="15"/>
    </row>
    <row r="31" spans="1:9" ht="38.25" x14ac:dyDescent="0.25">
      <c r="A31" s="193"/>
      <c r="B31" s="193"/>
      <c r="C31" s="8" t="s">
        <v>94</v>
      </c>
      <c r="D31" s="1">
        <v>100</v>
      </c>
      <c r="E31" s="6">
        <f t="shared" si="1"/>
        <v>89794</v>
      </c>
      <c r="F31" s="6">
        <f t="shared" si="0"/>
        <v>8979400</v>
      </c>
      <c r="G31" s="7"/>
      <c r="H31" s="6">
        <v>8979400</v>
      </c>
      <c r="I31" s="15"/>
    </row>
    <row r="32" spans="1:9" ht="38.25" x14ac:dyDescent="0.25">
      <c r="A32" s="193"/>
      <c r="B32" s="193"/>
      <c r="C32" s="8" t="s">
        <v>95</v>
      </c>
      <c r="D32" s="1">
        <v>69</v>
      </c>
      <c r="E32" s="6">
        <f t="shared" si="1"/>
        <v>98798.55072463768</v>
      </c>
      <c r="F32" s="6">
        <f t="shared" si="0"/>
        <v>6817100</v>
      </c>
      <c r="G32" s="7"/>
      <c r="H32" s="6">
        <v>6817100</v>
      </c>
      <c r="I32" s="15"/>
    </row>
    <row r="33" spans="1:9" ht="38.25" x14ac:dyDescent="0.25">
      <c r="A33" s="193"/>
      <c r="B33" s="193"/>
      <c r="C33" s="8" t="s">
        <v>13</v>
      </c>
      <c r="D33" s="1">
        <v>86</v>
      </c>
      <c r="E33" s="6">
        <f t="shared" si="1"/>
        <v>97979.069767441862</v>
      </c>
      <c r="F33" s="6">
        <f t="shared" si="0"/>
        <v>8426200</v>
      </c>
      <c r="G33" s="7"/>
      <c r="H33" s="6">
        <v>8426200</v>
      </c>
      <c r="I33" s="15"/>
    </row>
    <row r="34" spans="1:9" ht="38.25" x14ac:dyDescent="0.25">
      <c r="A34" s="193"/>
      <c r="B34" s="193"/>
      <c r="C34" s="8" t="s">
        <v>96</v>
      </c>
      <c r="D34" s="1">
        <v>204</v>
      </c>
      <c r="E34" s="6">
        <f t="shared" si="1"/>
        <v>95573.529411764699</v>
      </c>
      <c r="F34" s="6">
        <f t="shared" ref="F34:F65" si="2">H34-G34</f>
        <v>19497000</v>
      </c>
      <c r="G34" s="7"/>
      <c r="H34" s="6">
        <v>19497000</v>
      </c>
      <c r="I34" s="15"/>
    </row>
    <row r="35" spans="1:9" ht="38.25" x14ac:dyDescent="0.25">
      <c r="A35" s="193"/>
      <c r="B35" s="193"/>
      <c r="C35" s="8" t="s">
        <v>97</v>
      </c>
      <c r="D35" s="1">
        <v>70</v>
      </c>
      <c r="E35" s="6">
        <f t="shared" si="1"/>
        <v>85091.428571428565</v>
      </c>
      <c r="F35" s="6">
        <f t="shared" si="2"/>
        <v>5956400</v>
      </c>
      <c r="G35" s="7"/>
      <c r="H35" s="6">
        <v>5956400</v>
      </c>
      <c r="I35" s="15"/>
    </row>
    <row r="36" spans="1:9" ht="38.25" x14ac:dyDescent="0.25">
      <c r="A36" s="193"/>
      <c r="B36" s="193"/>
      <c r="C36" s="8" t="s">
        <v>98</v>
      </c>
      <c r="D36" s="1">
        <v>52</v>
      </c>
      <c r="E36" s="6">
        <f t="shared" si="1"/>
        <v>98684.61538461539</v>
      </c>
      <c r="F36" s="6">
        <f t="shared" si="2"/>
        <v>5131600</v>
      </c>
      <c r="G36" s="7"/>
      <c r="H36" s="6">
        <v>5131600</v>
      </c>
      <c r="I36" s="15"/>
    </row>
    <row r="37" spans="1:9" ht="38.25" x14ac:dyDescent="0.25">
      <c r="A37" s="193"/>
      <c r="B37" s="193"/>
      <c r="C37" s="8" t="s">
        <v>99</v>
      </c>
      <c r="D37" s="1">
        <v>145</v>
      </c>
      <c r="E37" s="6">
        <f t="shared" si="1"/>
        <v>78159.31034482758</v>
      </c>
      <c r="F37" s="6">
        <f t="shared" si="2"/>
        <v>11333100</v>
      </c>
      <c r="G37" s="7"/>
      <c r="H37" s="6">
        <v>11333100</v>
      </c>
      <c r="I37" s="15"/>
    </row>
    <row r="38" spans="1:9" ht="38.25" x14ac:dyDescent="0.25">
      <c r="A38" s="193"/>
      <c r="B38" s="193"/>
      <c r="C38" s="8" t="s">
        <v>100</v>
      </c>
      <c r="D38" s="1">
        <v>152</v>
      </c>
      <c r="E38" s="6">
        <f t="shared" si="1"/>
        <v>77202.631578947374</v>
      </c>
      <c r="F38" s="6">
        <f t="shared" si="2"/>
        <v>11734800</v>
      </c>
      <c r="G38" s="7"/>
      <c r="H38" s="6">
        <v>11734800</v>
      </c>
      <c r="I38" s="15"/>
    </row>
    <row r="39" spans="1:9" ht="38.25" x14ac:dyDescent="0.25">
      <c r="A39" s="193"/>
      <c r="B39" s="193"/>
      <c r="C39" s="8" t="s">
        <v>101</v>
      </c>
      <c r="D39" s="1">
        <v>317</v>
      </c>
      <c r="E39" s="6">
        <f t="shared" si="1"/>
        <v>51429.022082018928</v>
      </c>
      <c r="F39" s="6">
        <f t="shared" si="2"/>
        <v>16303000</v>
      </c>
      <c r="G39" s="7"/>
      <c r="H39" s="6">
        <v>16303000</v>
      </c>
      <c r="I39" s="15"/>
    </row>
    <row r="40" spans="1:9" ht="38.25" x14ac:dyDescent="0.25">
      <c r="A40" s="193"/>
      <c r="B40" s="193"/>
      <c r="C40" s="8" t="s">
        <v>102</v>
      </c>
      <c r="D40" s="1">
        <v>225</v>
      </c>
      <c r="E40" s="6">
        <f t="shared" si="1"/>
        <v>50770.222222222219</v>
      </c>
      <c r="F40" s="6">
        <f t="shared" si="2"/>
        <v>11423300</v>
      </c>
      <c r="G40" s="7"/>
      <c r="H40" s="6">
        <v>11423300</v>
      </c>
      <c r="I40" s="15"/>
    </row>
    <row r="41" spans="1:9" ht="38.25" x14ac:dyDescent="0.25">
      <c r="A41" s="193"/>
      <c r="B41" s="193"/>
      <c r="C41" s="8" t="s">
        <v>103</v>
      </c>
      <c r="D41" s="1">
        <v>304</v>
      </c>
      <c r="E41" s="6">
        <f t="shared" si="1"/>
        <v>66764.473684210519</v>
      </c>
      <c r="F41" s="6">
        <f t="shared" si="2"/>
        <v>20296400</v>
      </c>
      <c r="G41" s="7"/>
      <c r="H41" s="6">
        <v>20296400</v>
      </c>
      <c r="I41" s="15"/>
    </row>
    <row r="42" spans="1:9" ht="38.25" x14ac:dyDescent="0.25">
      <c r="A42" s="193"/>
      <c r="B42" s="193"/>
      <c r="C42" s="8" t="s">
        <v>104</v>
      </c>
      <c r="D42" s="1">
        <v>256</v>
      </c>
      <c r="E42" s="6">
        <f t="shared" si="1"/>
        <v>78775.78125</v>
      </c>
      <c r="F42" s="6">
        <f t="shared" si="2"/>
        <v>20166600</v>
      </c>
      <c r="G42" s="7"/>
      <c r="H42" s="6">
        <v>20166600</v>
      </c>
      <c r="I42" s="15"/>
    </row>
    <row r="43" spans="1:9" ht="38.25" x14ac:dyDescent="0.25">
      <c r="A43" s="193"/>
      <c r="B43" s="193"/>
      <c r="C43" s="8" t="s">
        <v>105</v>
      </c>
      <c r="D43" s="1">
        <v>352</v>
      </c>
      <c r="E43" s="6">
        <f t="shared" si="1"/>
        <v>64576.98863636364</v>
      </c>
      <c r="F43" s="6">
        <f t="shared" si="2"/>
        <v>22731100</v>
      </c>
      <c r="G43" s="7"/>
      <c r="H43" s="6">
        <v>22731100</v>
      </c>
      <c r="I43" s="15"/>
    </row>
    <row r="44" spans="1:9" ht="38.25" x14ac:dyDescent="0.25">
      <c r="A44" s="193"/>
      <c r="B44" s="193"/>
      <c r="C44" s="8" t="s">
        <v>106</v>
      </c>
      <c r="D44" s="1">
        <v>175</v>
      </c>
      <c r="E44" s="6">
        <f t="shared" si="1"/>
        <v>69374.857142857145</v>
      </c>
      <c r="F44" s="6">
        <f t="shared" si="2"/>
        <v>12140600</v>
      </c>
      <c r="G44" s="7"/>
      <c r="H44" s="6">
        <v>12140600</v>
      </c>
      <c r="I44" s="15"/>
    </row>
    <row r="45" spans="1:9" ht="38.25" x14ac:dyDescent="0.25">
      <c r="A45" s="193"/>
      <c r="B45" s="193"/>
      <c r="C45" s="8" t="s">
        <v>107</v>
      </c>
      <c r="D45" s="1">
        <v>72</v>
      </c>
      <c r="E45" s="6">
        <f t="shared" si="1"/>
        <v>73697.222222222219</v>
      </c>
      <c r="F45" s="6">
        <f t="shared" si="2"/>
        <v>5306200</v>
      </c>
      <c r="G45" s="7"/>
      <c r="H45" s="6">
        <v>5306200</v>
      </c>
      <c r="I45" s="15"/>
    </row>
    <row r="46" spans="1:9" ht="38.25" x14ac:dyDescent="0.25">
      <c r="A46" s="193"/>
      <c r="B46" s="193"/>
      <c r="C46" s="8" t="s">
        <v>108</v>
      </c>
      <c r="D46" s="1">
        <v>195</v>
      </c>
      <c r="E46" s="6">
        <f t="shared" si="1"/>
        <v>84842.051282051281</v>
      </c>
      <c r="F46" s="6">
        <f t="shared" si="2"/>
        <v>16544200</v>
      </c>
      <c r="G46" s="7"/>
      <c r="H46" s="6">
        <v>16544200</v>
      </c>
      <c r="I46" s="15"/>
    </row>
    <row r="47" spans="1:9" ht="38.25" x14ac:dyDescent="0.25">
      <c r="A47" s="193"/>
      <c r="B47" s="193"/>
      <c r="C47" s="8" t="s">
        <v>109</v>
      </c>
      <c r="D47" s="1">
        <v>313</v>
      </c>
      <c r="E47" s="6">
        <f t="shared" si="1"/>
        <v>66906.389776357828</v>
      </c>
      <c r="F47" s="6">
        <f t="shared" si="2"/>
        <v>20941700</v>
      </c>
      <c r="G47" s="7"/>
      <c r="H47" s="6">
        <v>20941700</v>
      </c>
      <c r="I47" s="15"/>
    </row>
    <row r="48" spans="1:9" ht="38.25" x14ac:dyDescent="0.25">
      <c r="A48" s="193"/>
      <c r="B48" s="193"/>
      <c r="C48" s="8" t="s">
        <v>110</v>
      </c>
      <c r="D48" s="1">
        <v>81</v>
      </c>
      <c r="E48" s="6">
        <f t="shared" si="1"/>
        <v>80055.555555555562</v>
      </c>
      <c r="F48" s="6">
        <f t="shared" si="2"/>
        <v>6484500</v>
      </c>
      <c r="G48" s="7"/>
      <c r="H48" s="6">
        <v>6484500</v>
      </c>
      <c r="I48" s="15"/>
    </row>
    <row r="49" spans="1:9" ht="38.25" x14ac:dyDescent="0.25">
      <c r="A49" s="193"/>
      <c r="B49" s="193"/>
      <c r="C49" s="8" t="s">
        <v>111</v>
      </c>
      <c r="D49" s="1">
        <v>69</v>
      </c>
      <c r="E49" s="6">
        <f t="shared" si="1"/>
        <v>90563.768115942032</v>
      </c>
      <c r="F49" s="6">
        <f t="shared" si="2"/>
        <v>6248900</v>
      </c>
      <c r="G49" s="7"/>
      <c r="H49" s="6">
        <v>6248900</v>
      </c>
      <c r="I49" s="15"/>
    </row>
    <row r="50" spans="1:9" ht="38.25" x14ac:dyDescent="0.25">
      <c r="A50" s="193"/>
      <c r="B50" s="193"/>
      <c r="C50" s="8" t="s">
        <v>112</v>
      </c>
      <c r="D50" s="1">
        <v>108</v>
      </c>
      <c r="E50" s="6">
        <f t="shared" si="1"/>
        <v>65112.962962962964</v>
      </c>
      <c r="F50" s="6">
        <f t="shared" si="2"/>
        <v>7032200</v>
      </c>
      <c r="G50" s="7"/>
      <c r="H50" s="6">
        <v>7032200</v>
      </c>
      <c r="I50" s="15"/>
    </row>
    <row r="51" spans="1:9" ht="38.25" x14ac:dyDescent="0.25">
      <c r="A51" s="193"/>
      <c r="B51" s="193"/>
      <c r="C51" s="8" t="s">
        <v>113</v>
      </c>
      <c r="D51" s="1">
        <v>130</v>
      </c>
      <c r="E51" s="6">
        <f t="shared" si="1"/>
        <v>89919.230769230766</v>
      </c>
      <c r="F51" s="6">
        <f t="shared" si="2"/>
        <v>11689500</v>
      </c>
      <c r="G51" s="7"/>
      <c r="H51" s="6">
        <v>11689500</v>
      </c>
      <c r="I51" s="15"/>
    </row>
    <row r="52" spans="1:9" ht="38.25" x14ac:dyDescent="0.25">
      <c r="A52" s="193"/>
      <c r="B52" s="193"/>
      <c r="C52" s="8" t="s">
        <v>15</v>
      </c>
      <c r="D52" s="1">
        <v>341</v>
      </c>
      <c r="E52" s="6">
        <f t="shared" si="1"/>
        <v>69025.513196480941</v>
      </c>
      <c r="F52" s="6">
        <f t="shared" si="2"/>
        <v>23537700</v>
      </c>
      <c r="G52" s="7"/>
      <c r="H52" s="6">
        <v>23537700</v>
      </c>
      <c r="I52" s="15"/>
    </row>
    <row r="53" spans="1:9" ht="38.25" x14ac:dyDescent="0.25">
      <c r="A53" s="193"/>
      <c r="B53" s="193"/>
      <c r="C53" s="8" t="s">
        <v>114</v>
      </c>
      <c r="D53" s="1">
        <v>95</v>
      </c>
      <c r="E53" s="6">
        <f t="shared" si="1"/>
        <v>95266.31578947368</v>
      </c>
      <c r="F53" s="6">
        <f t="shared" si="2"/>
        <v>9050300</v>
      </c>
      <c r="G53" s="7"/>
      <c r="H53" s="6">
        <v>9050300</v>
      </c>
      <c r="I53" s="15"/>
    </row>
    <row r="54" spans="1:9" ht="38.25" x14ac:dyDescent="0.25">
      <c r="A54" s="193"/>
      <c r="B54" s="193"/>
      <c r="C54" s="8" t="s">
        <v>115</v>
      </c>
      <c r="D54" s="1">
        <v>52</v>
      </c>
      <c r="E54" s="6">
        <f t="shared" si="1"/>
        <v>103625</v>
      </c>
      <c r="F54" s="6">
        <f t="shared" si="2"/>
        <v>5388500</v>
      </c>
      <c r="G54" s="7"/>
      <c r="H54" s="6">
        <v>5388500</v>
      </c>
      <c r="I54" s="15"/>
    </row>
    <row r="55" spans="1:9" ht="38.25" x14ac:dyDescent="0.25">
      <c r="A55" s="193"/>
      <c r="B55" s="193"/>
      <c r="C55" s="8" t="s">
        <v>116</v>
      </c>
      <c r="D55" s="1">
        <v>310</v>
      </c>
      <c r="E55" s="6">
        <f t="shared" si="1"/>
        <v>48392.903225806454</v>
      </c>
      <c r="F55" s="6">
        <f t="shared" si="2"/>
        <v>15001800</v>
      </c>
      <c r="G55" s="7"/>
      <c r="H55" s="6">
        <v>15001800</v>
      </c>
      <c r="I55" s="15"/>
    </row>
    <row r="56" spans="1:9" ht="38.25" x14ac:dyDescent="0.25">
      <c r="A56" s="193"/>
      <c r="B56" s="193"/>
      <c r="C56" s="8" t="s">
        <v>117</v>
      </c>
      <c r="D56" s="1">
        <v>151</v>
      </c>
      <c r="E56" s="6">
        <f t="shared" si="1"/>
        <v>85855.629139072844</v>
      </c>
      <c r="F56" s="6">
        <f t="shared" si="2"/>
        <v>12964200</v>
      </c>
      <c r="G56" s="7"/>
      <c r="H56" s="6">
        <v>12964200</v>
      </c>
      <c r="I56" s="15"/>
    </row>
    <row r="57" spans="1:9" ht="38.25" x14ac:dyDescent="0.25">
      <c r="A57" s="193"/>
      <c r="B57" s="193"/>
      <c r="C57" s="8" t="s">
        <v>118</v>
      </c>
      <c r="D57" s="1">
        <v>120</v>
      </c>
      <c r="E57" s="6">
        <f t="shared" si="1"/>
        <v>70829.166666666672</v>
      </c>
      <c r="F57" s="6">
        <f t="shared" si="2"/>
        <v>8499500</v>
      </c>
      <c r="G57" s="7"/>
      <c r="H57" s="6">
        <v>8499500</v>
      </c>
      <c r="I57" s="15"/>
    </row>
    <row r="58" spans="1:9" ht="38.25" x14ac:dyDescent="0.25">
      <c r="A58" s="193"/>
      <c r="B58" s="193"/>
      <c r="C58" s="8" t="s">
        <v>119</v>
      </c>
      <c r="D58" s="1">
        <v>144</v>
      </c>
      <c r="E58" s="6">
        <f t="shared" si="1"/>
        <v>86654.166666666672</v>
      </c>
      <c r="F58" s="6">
        <f t="shared" si="2"/>
        <v>12478200</v>
      </c>
      <c r="G58" s="7"/>
      <c r="H58" s="6">
        <v>12478200</v>
      </c>
      <c r="I58" s="15"/>
    </row>
    <row r="59" spans="1:9" ht="38.25" x14ac:dyDescent="0.25">
      <c r="A59" s="193"/>
      <c r="B59" s="193"/>
      <c r="C59" s="8" t="s">
        <v>120</v>
      </c>
      <c r="D59" s="1">
        <v>366</v>
      </c>
      <c r="E59" s="6">
        <f t="shared" si="1"/>
        <v>71452.459016393448</v>
      </c>
      <c r="F59" s="6">
        <f t="shared" si="2"/>
        <v>26151600</v>
      </c>
      <c r="G59" s="7"/>
      <c r="H59" s="6">
        <v>26151600</v>
      </c>
      <c r="I59" s="15"/>
    </row>
    <row r="60" spans="1:9" ht="38.25" x14ac:dyDescent="0.25">
      <c r="A60" s="193"/>
      <c r="B60" s="193"/>
      <c r="C60" s="8" t="s">
        <v>121</v>
      </c>
      <c r="D60" s="1">
        <v>160</v>
      </c>
      <c r="E60" s="6">
        <f t="shared" si="1"/>
        <v>81225</v>
      </c>
      <c r="F60" s="6">
        <f t="shared" si="2"/>
        <v>12996000</v>
      </c>
      <c r="G60" s="7"/>
      <c r="H60" s="6">
        <v>12996000</v>
      </c>
      <c r="I60" s="15"/>
    </row>
    <row r="61" spans="1:9" ht="38.25" x14ac:dyDescent="0.25">
      <c r="A61" s="193"/>
      <c r="B61" s="193"/>
      <c r="C61" s="8" t="s">
        <v>122</v>
      </c>
      <c r="D61" s="1">
        <v>274</v>
      </c>
      <c r="E61" s="6">
        <f t="shared" si="1"/>
        <v>93214.598540145991</v>
      </c>
      <c r="F61" s="6">
        <f t="shared" si="2"/>
        <v>25540800</v>
      </c>
      <c r="G61" s="7"/>
      <c r="H61" s="6">
        <v>25540800</v>
      </c>
      <c r="I61" s="15"/>
    </row>
    <row r="62" spans="1:9" ht="38.25" x14ac:dyDescent="0.25">
      <c r="A62" s="193"/>
      <c r="B62" s="193"/>
      <c r="C62" s="8" t="s">
        <v>16</v>
      </c>
      <c r="D62" s="1">
        <v>309</v>
      </c>
      <c r="E62" s="6">
        <f t="shared" si="1"/>
        <v>66896.440129449838</v>
      </c>
      <c r="F62" s="6">
        <f t="shared" si="2"/>
        <v>20671000</v>
      </c>
      <c r="G62" s="7"/>
      <c r="H62" s="6">
        <v>20671000</v>
      </c>
      <c r="I62" s="15"/>
    </row>
    <row r="63" spans="1:9" ht="38.25" x14ac:dyDescent="0.25">
      <c r="A63" s="193"/>
      <c r="B63" s="193"/>
      <c r="C63" s="8" t="s">
        <v>123</v>
      </c>
      <c r="D63" s="1">
        <v>350</v>
      </c>
      <c r="E63" s="6">
        <f t="shared" si="1"/>
        <v>62303.714285714283</v>
      </c>
      <c r="F63" s="6">
        <f t="shared" si="2"/>
        <v>21806300</v>
      </c>
      <c r="G63" s="7"/>
      <c r="H63" s="6">
        <v>21806300</v>
      </c>
      <c r="I63" s="15"/>
    </row>
    <row r="64" spans="1:9" ht="38.25" x14ac:dyDescent="0.25">
      <c r="A64" s="193"/>
      <c r="B64" s="193"/>
      <c r="C64" s="8" t="s">
        <v>124</v>
      </c>
      <c r="D64" s="1">
        <v>55</v>
      </c>
      <c r="E64" s="6">
        <f t="shared" si="1"/>
        <v>89270.909090909088</v>
      </c>
      <c r="F64" s="6">
        <f t="shared" si="2"/>
        <v>4909900</v>
      </c>
      <c r="G64" s="7"/>
      <c r="H64" s="6">
        <v>4909900</v>
      </c>
      <c r="I64" s="15"/>
    </row>
    <row r="65" spans="1:9" ht="38.25" x14ac:dyDescent="0.25">
      <c r="A65" s="193"/>
      <c r="B65" s="193"/>
      <c r="C65" s="8" t="s">
        <v>125</v>
      </c>
      <c r="D65" s="1">
        <v>95</v>
      </c>
      <c r="E65" s="6">
        <f t="shared" si="1"/>
        <v>66547.368421052626</v>
      </c>
      <c r="F65" s="6">
        <f t="shared" si="2"/>
        <v>6322000</v>
      </c>
      <c r="G65" s="7"/>
      <c r="H65" s="6">
        <v>6322000</v>
      </c>
      <c r="I65" s="15"/>
    </row>
    <row r="66" spans="1:9" ht="38.25" customHeight="1" x14ac:dyDescent="0.25">
      <c r="A66" s="193">
        <v>2</v>
      </c>
      <c r="B66" s="193" t="s">
        <v>126</v>
      </c>
      <c r="C66" s="8" t="s">
        <v>71</v>
      </c>
      <c r="D66" s="1">
        <v>127</v>
      </c>
      <c r="E66" s="6">
        <f t="shared" si="1"/>
        <v>23449.606299212595</v>
      </c>
      <c r="F66" s="6">
        <f t="shared" ref="F66:F97" si="3">H66-G66</f>
        <v>2978099.9999999995</v>
      </c>
      <c r="G66" s="9">
        <v>795600</v>
      </c>
      <c r="H66" s="6">
        <v>3773699.9999999995</v>
      </c>
      <c r="I66" s="15"/>
    </row>
    <row r="67" spans="1:9" ht="38.25" x14ac:dyDescent="0.25">
      <c r="A67" s="193"/>
      <c r="B67" s="193"/>
      <c r="C67" s="8" t="s">
        <v>72</v>
      </c>
      <c r="D67" s="1">
        <v>158</v>
      </c>
      <c r="E67" s="6">
        <f t="shared" si="1"/>
        <v>24027.215189873419</v>
      </c>
      <c r="F67" s="6">
        <f t="shared" si="3"/>
        <v>3796300</v>
      </c>
      <c r="G67" s="9">
        <v>3535700</v>
      </c>
      <c r="H67" s="6">
        <v>7332000</v>
      </c>
      <c r="I67" s="15"/>
    </row>
    <row r="68" spans="1:9" ht="38.25" x14ac:dyDescent="0.25">
      <c r="A68" s="193"/>
      <c r="B68" s="193"/>
      <c r="C68" s="8" t="s">
        <v>73</v>
      </c>
      <c r="D68" s="1">
        <v>300</v>
      </c>
      <c r="E68" s="6">
        <f t="shared" ref="E68:E132" si="4">F68/D68</f>
        <v>22363</v>
      </c>
      <c r="F68" s="6">
        <f t="shared" si="3"/>
        <v>6708900</v>
      </c>
      <c r="G68" s="9">
        <v>1065900</v>
      </c>
      <c r="H68" s="6">
        <v>7774800</v>
      </c>
      <c r="I68" s="15"/>
    </row>
    <row r="69" spans="1:9" ht="38.25" x14ac:dyDescent="0.25">
      <c r="A69" s="193"/>
      <c r="B69" s="193"/>
      <c r="C69" s="8" t="s">
        <v>14</v>
      </c>
      <c r="D69" s="1">
        <v>119</v>
      </c>
      <c r="E69" s="6">
        <f t="shared" si="4"/>
        <v>22012.605042016807</v>
      </c>
      <c r="F69" s="6">
        <f t="shared" si="3"/>
        <v>2619500</v>
      </c>
      <c r="G69" s="9">
        <v>663000</v>
      </c>
      <c r="H69" s="6">
        <v>3282500</v>
      </c>
      <c r="I69" s="15"/>
    </row>
    <row r="70" spans="1:9" ht="38.25" x14ac:dyDescent="0.25">
      <c r="A70" s="193"/>
      <c r="B70" s="193"/>
      <c r="C70" s="8" t="s">
        <v>74</v>
      </c>
      <c r="D70" s="1">
        <v>41</v>
      </c>
      <c r="E70" s="6">
        <f t="shared" si="4"/>
        <v>49497.560975609747</v>
      </c>
      <c r="F70" s="6">
        <f t="shared" si="3"/>
        <v>2029399.9999999995</v>
      </c>
      <c r="G70" s="9">
        <v>546200</v>
      </c>
      <c r="H70" s="6">
        <v>2575599.9999999995</v>
      </c>
      <c r="I70" s="15"/>
    </row>
    <row r="71" spans="1:9" ht="38.25" x14ac:dyDescent="0.25">
      <c r="A71" s="193"/>
      <c r="B71" s="193"/>
      <c r="C71" s="8" t="s">
        <v>75</v>
      </c>
      <c r="D71" s="1">
        <v>149</v>
      </c>
      <c r="E71" s="6">
        <f t="shared" si="4"/>
        <v>24866.442953020141</v>
      </c>
      <c r="F71" s="6">
        <f t="shared" si="3"/>
        <v>3705100.0000000009</v>
      </c>
      <c r="G71" s="9">
        <v>781099.99999999988</v>
      </c>
      <c r="H71" s="6">
        <v>4486200.0000000009</v>
      </c>
      <c r="I71" s="15"/>
    </row>
    <row r="72" spans="1:9" ht="38.25" x14ac:dyDescent="0.25">
      <c r="A72" s="193"/>
      <c r="B72" s="193"/>
      <c r="C72" s="8" t="s">
        <v>76</v>
      </c>
      <c r="D72" s="1">
        <v>150</v>
      </c>
      <c r="E72" s="6">
        <f t="shared" si="4"/>
        <v>26654.666666666668</v>
      </c>
      <c r="F72" s="6">
        <f t="shared" si="3"/>
        <v>3998200</v>
      </c>
      <c r="G72" s="9">
        <v>758000</v>
      </c>
      <c r="H72" s="6">
        <v>4756200</v>
      </c>
      <c r="I72" s="15"/>
    </row>
    <row r="73" spans="1:9" ht="38.25" x14ac:dyDescent="0.25">
      <c r="A73" s="193"/>
      <c r="B73" s="193"/>
      <c r="C73" s="8" t="s">
        <v>139</v>
      </c>
      <c r="D73" s="1">
        <v>220</v>
      </c>
      <c r="E73" s="6">
        <f t="shared" ref="E73" si="5">F73/D73</f>
        <v>22843.636363636364</v>
      </c>
      <c r="F73" s="6">
        <f t="shared" si="3"/>
        <v>5025600</v>
      </c>
      <c r="G73" s="9">
        <v>7641800</v>
      </c>
      <c r="H73" s="6">
        <v>12667400</v>
      </c>
      <c r="I73" s="15"/>
    </row>
    <row r="74" spans="1:9" ht="38.25" x14ac:dyDescent="0.25">
      <c r="A74" s="193"/>
      <c r="B74" s="193"/>
      <c r="C74" s="8" t="s">
        <v>77</v>
      </c>
      <c r="D74" s="1">
        <v>100</v>
      </c>
      <c r="E74" s="6">
        <f t="shared" si="4"/>
        <v>25533.999999999996</v>
      </c>
      <c r="F74" s="6">
        <f t="shared" si="3"/>
        <v>2553399.9999999995</v>
      </c>
      <c r="G74" s="9">
        <v>624300</v>
      </c>
      <c r="H74" s="6">
        <v>3177699.9999999995</v>
      </c>
      <c r="I74" s="15"/>
    </row>
    <row r="75" spans="1:9" ht="38.25" x14ac:dyDescent="0.25">
      <c r="A75" s="193"/>
      <c r="B75" s="193"/>
      <c r="C75" s="8" t="s">
        <v>9</v>
      </c>
      <c r="D75" s="1">
        <v>155</v>
      </c>
      <c r="E75" s="6">
        <f t="shared" si="4"/>
        <v>26231.612903225807</v>
      </c>
      <c r="F75" s="6">
        <f t="shared" si="3"/>
        <v>4065900</v>
      </c>
      <c r="G75" s="9">
        <v>774000</v>
      </c>
      <c r="H75" s="6">
        <v>4839900</v>
      </c>
      <c r="I75" s="15"/>
    </row>
    <row r="76" spans="1:9" ht="38.25" x14ac:dyDescent="0.25">
      <c r="A76" s="193"/>
      <c r="B76" s="193"/>
      <c r="C76" s="8" t="s">
        <v>10</v>
      </c>
      <c r="D76" s="1">
        <v>154</v>
      </c>
      <c r="E76" s="6">
        <f t="shared" si="4"/>
        <v>22574.675324675325</v>
      </c>
      <c r="F76" s="6">
        <f t="shared" si="3"/>
        <v>3476500</v>
      </c>
      <c r="G76" s="9">
        <v>795200</v>
      </c>
      <c r="H76" s="6">
        <v>4271700</v>
      </c>
      <c r="I76" s="15"/>
    </row>
    <row r="77" spans="1:9" ht="38.25" x14ac:dyDescent="0.25">
      <c r="A77" s="193"/>
      <c r="B77" s="193"/>
      <c r="C77" s="8" t="s">
        <v>78</v>
      </c>
      <c r="D77" s="1">
        <v>295</v>
      </c>
      <c r="E77" s="6">
        <f t="shared" si="4"/>
        <v>24809.491525423728</v>
      </c>
      <c r="F77" s="6">
        <f t="shared" si="3"/>
        <v>7318800</v>
      </c>
      <c r="G77" s="9">
        <v>1264900</v>
      </c>
      <c r="H77" s="6">
        <v>8583700</v>
      </c>
      <c r="I77" s="15"/>
    </row>
    <row r="78" spans="1:9" ht="38.25" x14ac:dyDescent="0.25">
      <c r="A78" s="193"/>
      <c r="B78" s="193"/>
      <c r="C78" s="8" t="s">
        <v>79</v>
      </c>
      <c r="D78" s="1">
        <v>280</v>
      </c>
      <c r="E78" s="6">
        <f t="shared" si="4"/>
        <v>21257.857142857138</v>
      </c>
      <c r="F78" s="6">
        <f t="shared" si="3"/>
        <v>5952199.9999999981</v>
      </c>
      <c r="G78" s="9">
        <v>1187100</v>
      </c>
      <c r="H78" s="6">
        <v>7139299.9999999981</v>
      </c>
      <c r="I78" s="15"/>
    </row>
    <row r="79" spans="1:9" ht="38.25" x14ac:dyDescent="0.25">
      <c r="A79" s="193"/>
      <c r="B79" s="193"/>
      <c r="C79" s="8" t="s">
        <v>80</v>
      </c>
      <c r="D79" s="1">
        <v>120</v>
      </c>
      <c r="E79" s="6">
        <f t="shared" si="4"/>
        <v>23549.166666666664</v>
      </c>
      <c r="F79" s="6">
        <f t="shared" si="3"/>
        <v>2825899.9999999995</v>
      </c>
      <c r="G79" s="9">
        <v>659600</v>
      </c>
      <c r="H79" s="6">
        <v>3485499.9999999995</v>
      </c>
      <c r="I79" s="15"/>
    </row>
    <row r="80" spans="1:9" ht="38.25" x14ac:dyDescent="0.25">
      <c r="A80" s="193"/>
      <c r="B80" s="193"/>
      <c r="C80" s="8" t="s">
        <v>81</v>
      </c>
      <c r="D80" s="1">
        <v>100</v>
      </c>
      <c r="E80" s="6">
        <f t="shared" si="4"/>
        <v>24065.999999999996</v>
      </c>
      <c r="F80" s="6">
        <f t="shared" si="3"/>
        <v>2406599.9999999995</v>
      </c>
      <c r="G80" s="9">
        <v>683000</v>
      </c>
      <c r="H80" s="6">
        <v>3089599.9999999995</v>
      </c>
      <c r="I80" s="15"/>
    </row>
    <row r="81" spans="1:9" ht="38.25" x14ac:dyDescent="0.25">
      <c r="A81" s="193"/>
      <c r="B81" s="193"/>
      <c r="C81" s="8" t="s">
        <v>82</v>
      </c>
      <c r="D81" s="1">
        <v>346</v>
      </c>
      <c r="E81" s="6">
        <f t="shared" si="4"/>
        <v>22588.439306358381</v>
      </c>
      <c r="F81" s="6">
        <f t="shared" si="3"/>
        <v>7815600</v>
      </c>
      <c r="G81" s="9">
        <v>1086900</v>
      </c>
      <c r="H81" s="6">
        <v>8902500</v>
      </c>
      <c r="I81" s="15"/>
    </row>
    <row r="82" spans="1:9" ht="38.25" x14ac:dyDescent="0.25">
      <c r="A82" s="193"/>
      <c r="B82" s="193"/>
      <c r="C82" s="8" t="s">
        <v>83</v>
      </c>
      <c r="D82" s="1">
        <v>115</v>
      </c>
      <c r="E82" s="6">
        <f t="shared" si="4"/>
        <v>23837.391304347821</v>
      </c>
      <c r="F82" s="6">
        <f t="shared" si="3"/>
        <v>2741299.9999999995</v>
      </c>
      <c r="G82" s="9">
        <v>699000</v>
      </c>
      <c r="H82" s="6">
        <v>3440299.9999999995</v>
      </c>
      <c r="I82" s="15"/>
    </row>
    <row r="83" spans="1:9" ht="38.25" x14ac:dyDescent="0.25">
      <c r="A83" s="193"/>
      <c r="B83" s="193"/>
      <c r="C83" s="8" t="s">
        <v>84</v>
      </c>
      <c r="D83" s="1">
        <v>258</v>
      </c>
      <c r="E83" s="6">
        <f t="shared" si="4"/>
        <v>21876.744186046511</v>
      </c>
      <c r="F83" s="6">
        <f t="shared" si="3"/>
        <v>5644200</v>
      </c>
      <c r="G83" s="9">
        <v>1081900</v>
      </c>
      <c r="H83" s="6">
        <v>6726100</v>
      </c>
      <c r="I83" s="15"/>
    </row>
    <row r="84" spans="1:9" ht="38.25" x14ac:dyDescent="0.25">
      <c r="A84" s="193"/>
      <c r="B84" s="193"/>
      <c r="C84" s="8" t="s">
        <v>11</v>
      </c>
      <c r="D84" s="1">
        <v>70</v>
      </c>
      <c r="E84" s="6">
        <f t="shared" si="4"/>
        <v>27108.571428571435</v>
      </c>
      <c r="F84" s="6">
        <f t="shared" si="3"/>
        <v>1897600.0000000005</v>
      </c>
      <c r="G84" s="9">
        <v>787599.99999999988</v>
      </c>
      <c r="H84" s="6">
        <v>2685200.0000000005</v>
      </c>
      <c r="I84" s="15"/>
    </row>
    <row r="85" spans="1:9" ht="38.25" x14ac:dyDescent="0.25">
      <c r="A85" s="193"/>
      <c r="B85" s="193"/>
      <c r="C85" s="8" t="s">
        <v>85</v>
      </c>
      <c r="D85" s="1">
        <v>51</v>
      </c>
      <c r="E85" s="6">
        <f t="shared" si="4"/>
        <v>18801.96078431372</v>
      </c>
      <c r="F85" s="6">
        <f t="shared" si="3"/>
        <v>958899.99999999977</v>
      </c>
      <c r="G85" s="9">
        <v>1642100.0000000002</v>
      </c>
      <c r="H85" s="6">
        <v>2601000</v>
      </c>
      <c r="I85" s="15"/>
    </row>
    <row r="86" spans="1:9" ht="38.25" x14ac:dyDescent="0.25">
      <c r="A86" s="193"/>
      <c r="B86" s="193"/>
      <c r="C86" s="8" t="s">
        <v>86</v>
      </c>
      <c r="D86" s="1">
        <v>100</v>
      </c>
      <c r="E86" s="6">
        <f t="shared" si="4"/>
        <v>20500.000000000004</v>
      </c>
      <c r="F86" s="6">
        <f t="shared" si="3"/>
        <v>2050000.0000000005</v>
      </c>
      <c r="G86" s="9">
        <v>564800</v>
      </c>
      <c r="H86" s="6">
        <v>2614800.0000000005</v>
      </c>
      <c r="I86" s="15"/>
    </row>
    <row r="87" spans="1:9" ht="38.25" x14ac:dyDescent="0.25">
      <c r="A87" s="193"/>
      <c r="B87" s="193"/>
      <c r="C87" s="8" t="s">
        <v>12</v>
      </c>
      <c r="D87" s="1">
        <v>149</v>
      </c>
      <c r="E87" s="6">
        <f t="shared" si="4"/>
        <v>24620.805369127516</v>
      </c>
      <c r="F87" s="6">
        <f t="shared" si="3"/>
        <v>3668500</v>
      </c>
      <c r="G87" s="9">
        <v>731599.99999999988</v>
      </c>
      <c r="H87" s="6">
        <v>4400100</v>
      </c>
      <c r="I87" s="15"/>
    </row>
    <row r="88" spans="1:9" ht="38.25" x14ac:dyDescent="0.25">
      <c r="A88" s="193"/>
      <c r="B88" s="193"/>
      <c r="C88" s="8" t="s">
        <v>87</v>
      </c>
      <c r="D88" s="1">
        <v>132</v>
      </c>
      <c r="E88" s="6">
        <f t="shared" si="4"/>
        <v>30688.636363636364</v>
      </c>
      <c r="F88" s="6">
        <f t="shared" si="3"/>
        <v>4050900</v>
      </c>
      <c r="G88" s="9">
        <v>810700</v>
      </c>
      <c r="H88" s="6">
        <v>4861600</v>
      </c>
      <c r="I88" s="15"/>
    </row>
    <row r="89" spans="1:9" ht="38.25" x14ac:dyDescent="0.25">
      <c r="A89" s="193"/>
      <c r="B89" s="193"/>
      <c r="C89" s="8" t="s">
        <v>88</v>
      </c>
      <c r="D89" s="1">
        <v>140</v>
      </c>
      <c r="E89" s="6">
        <f t="shared" si="4"/>
        <v>23137.857142857141</v>
      </c>
      <c r="F89" s="6">
        <f t="shared" si="3"/>
        <v>3239300</v>
      </c>
      <c r="G89" s="9">
        <v>540000</v>
      </c>
      <c r="H89" s="6">
        <v>3779300</v>
      </c>
      <c r="I89" s="15"/>
    </row>
    <row r="90" spans="1:9" ht="38.25" x14ac:dyDescent="0.25">
      <c r="A90" s="193"/>
      <c r="B90" s="193"/>
      <c r="C90" s="8" t="s">
        <v>89</v>
      </c>
      <c r="D90" s="1">
        <v>164</v>
      </c>
      <c r="E90" s="6">
        <f t="shared" si="4"/>
        <v>26745.121951219502</v>
      </c>
      <c r="F90" s="6">
        <f t="shared" si="3"/>
        <v>4386199.9999999981</v>
      </c>
      <c r="G90" s="9">
        <v>815200</v>
      </c>
      <c r="H90" s="6">
        <v>5201399.9999999981</v>
      </c>
      <c r="I90" s="15"/>
    </row>
    <row r="91" spans="1:9" ht="38.25" x14ac:dyDescent="0.25">
      <c r="A91" s="193"/>
      <c r="B91" s="193"/>
      <c r="C91" s="8" t="s">
        <v>90</v>
      </c>
      <c r="D91" s="1">
        <v>66</v>
      </c>
      <c r="E91" s="6">
        <f t="shared" si="4"/>
        <v>26199.999999999993</v>
      </c>
      <c r="F91" s="6">
        <f t="shared" si="3"/>
        <v>1729199.9999999995</v>
      </c>
      <c r="G91" s="9">
        <v>574700</v>
      </c>
      <c r="H91" s="6">
        <v>2303899.9999999995</v>
      </c>
      <c r="I91" s="15"/>
    </row>
    <row r="92" spans="1:9" ht="38.25" x14ac:dyDescent="0.25">
      <c r="A92" s="193"/>
      <c r="B92" s="193"/>
      <c r="C92" s="8" t="s">
        <v>91</v>
      </c>
      <c r="D92" s="1">
        <v>152</v>
      </c>
      <c r="E92" s="6">
        <f t="shared" si="4"/>
        <v>22348.684210526317</v>
      </c>
      <c r="F92" s="6">
        <f t="shared" si="3"/>
        <v>3397000</v>
      </c>
      <c r="G92" s="9">
        <v>631700</v>
      </c>
      <c r="H92" s="6">
        <v>4028700</v>
      </c>
      <c r="I92" s="15"/>
    </row>
    <row r="93" spans="1:9" ht="38.25" x14ac:dyDescent="0.25">
      <c r="A93" s="193"/>
      <c r="B93" s="193"/>
      <c r="C93" s="8" t="s">
        <v>92</v>
      </c>
      <c r="D93" s="1">
        <v>100</v>
      </c>
      <c r="E93" s="6">
        <f t="shared" si="4"/>
        <v>23158.000000000004</v>
      </c>
      <c r="F93" s="6">
        <f t="shared" si="3"/>
        <v>2315800.0000000005</v>
      </c>
      <c r="G93" s="9">
        <v>589300</v>
      </c>
      <c r="H93" s="6">
        <v>2905100.0000000005</v>
      </c>
      <c r="I93" s="15"/>
    </row>
    <row r="94" spans="1:9" ht="38.25" x14ac:dyDescent="0.25">
      <c r="A94" s="193"/>
      <c r="B94" s="193"/>
      <c r="C94" s="8" t="s">
        <v>93</v>
      </c>
      <c r="D94" s="1">
        <v>255</v>
      </c>
      <c r="E94" s="6">
        <f t="shared" si="4"/>
        <v>24563.529411764703</v>
      </c>
      <c r="F94" s="6">
        <f t="shared" si="3"/>
        <v>6263699.9999999991</v>
      </c>
      <c r="G94" s="9">
        <v>1075300.0000000002</v>
      </c>
      <c r="H94" s="6">
        <v>7338999.9999999991</v>
      </c>
      <c r="I94" s="15"/>
    </row>
    <row r="95" spans="1:9" ht="38.25" x14ac:dyDescent="0.25">
      <c r="A95" s="193"/>
      <c r="B95" s="193"/>
      <c r="C95" s="8" t="s">
        <v>94</v>
      </c>
      <c r="D95" s="1">
        <v>100</v>
      </c>
      <c r="E95" s="6">
        <f t="shared" si="4"/>
        <v>28865.999999999989</v>
      </c>
      <c r="F95" s="6">
        <f t="shared" si="3"/>
        <v>2886599.9999999991</v>
      </c>
      <c r="G95" s="9">
        <v>565599.99999999988</v>
      </c>
      <c r="H95" s="6">
        <v>3452199.9999999991</v>
      </c>
      <c r="I95" s="15"/>
    </row>
    <row r="96" spans="1:9" ht="38.25" x14ac:dyDescent="0.25">
      <c r="A96" s="193"/>
      <c r="B96" s="193"/>
      <c r="C96" s="8" t="s">
        <v>95</v>
      </c>
      <c r="D96" s="1">
        <v>69</v>
      </c>
      <c r="E96" s="6">
        <f t="shared" si="4"/>
        <v>28702.898550724636</v>
      </c>
      <c r="F96" s="6">
        <f t="shared" si="3"/>
        <v>1980500</v>
      </c>
      <c r="G96" s="9">
        <v>520400.00000000012</v>
      </c>
      <c r="H96" s="6">
        <v>2500900</v>
      </c>
      <c r="I96" s="15"/>
    </row>
    <row r="97" spans="1:9" ht="38.25" x14ac:dyDescent="0.25">
      <c r="A97" s="193"/>
      <c r="B97" s="193"/>
      <c r="C97" s="8" t="s">
        <v>13</v>
      </c>
      <c r="D97" s="1">
        <v>86</v>
      </c>
      <c r="E97" s="6">
        <f t="shared" si="4"/>
        <v>29876.744186046511</v>
      </c>
      <c r="F97" s="6">
        <f t="shared" si="3"/>
        <v>2569400</v>
      </c>
      <c r="G97" s="9">
        <v>548500</v>
      </c>
      <c r="H97" s="6">
        <v>3117900</v>
      </c>
      <c r="I97" s="15"/>
    </row>
    <row r="98" spans="1:9" ht="38.25" x14ac:dyDescent="0.25">
      <c r="A98" s="193"/>
      <c r="B98" s="193"/>
      <c r="C98" s="8" t="s">
        <v>96</v>
      </c>
      <c r="D98" s="1">
        <v>204</v>
      </c>
      <c r="E98" s="6">
        <f t="shared" si="4"/>
        <v>29457.843137254888</v>
      </c>
      <c r="F98" s="6">
        <f t="shared" ref="F98:F129" si="6">H98-G98</f>
        <v>6009399.9999999972</v>
      </c>
      <c r="G98" s="9">
        <v>6774999.9999999991</v>
      </c>
      <c r="H98" s="6">
        <v>12784399.999999996</v>
      </c>
      <c r="I98" s="15"/>
    </row>
    <row r="99" spans="1:9" ht="38.25" x14ac:dyDescent="0.25">
      <c r="A99" s="193"/>
      <c r="B99" s="193"/>
      <c r="C99" s="8" t="s">
        <v>97</v>
      </c>
      <c r="D99" s="1">
        <v>70</v>
      </c>
      <c r="E99" s="6">
        <f t="shared" si="4"/>
        <v>24352.857142857141</v>
      </c>
      <c r="F99" s="6">
        <f t="shared" si="6"/>
        <v>1704700</v>
      </c>
      <c r="G99" s="9">
        <v>677400.00000000012</v>
      </c>
      <c r="H99" s="6">
        <v>2382100</v>
      </c>
      <c r="I99" s="15"/>
    </row>
    <row r="100" spans="1:9" ht="38.25" x14ac:dyDescent="0.25">
      <c r="A100" s="193"/>
      <c r="B100" s="193"/>
      <c r="C100" s="8" t="s">
        <v>98</v>
      </c>
      <c r="D100" s="1">
        <v>52</v>
      </c>
      <c r="E100" s="6">
        <f t="shared" si="4"/>
        <v>30501.923076923078</v>
      </c>
      <c r="F100" s="6">
        <f t="shared" si="6"/>
        <v>1586100</v>
      </c>
      <c r="G100" s="9">
        <v>330600</v>
      </c>
      <c r="H100" s="6">
        <v>1916700</v>
      </c>
      <c r="I100" s="15"/>
    </row>
    <row r="101" spans="1:9" ht="38.25" x14ac:dyDescent="0.25">
      <c r="A101" s="193"/>
      <c r="B101" s="193"/>
      <c r="C101" s="8" t="s">
        <v>99</v>
      </c>
      <c r="D101" s="1">
        <v>145</v>
      </c>
      <c r="E101" s="6">
        <f t="shared" si="4"/>
        <v>28637.931034482757</v>
      </c>
      <c r="F101" s="6">
        <f t="shared" si="6"/>
        <v>4152500</v>
      </c>
      <c r="G101" s="9">
        <v>900300</v>
      </c>
      <c r="H101" s="6">
        <v>5052800</v>
      </c>
      <c r="I101" s="15"/>
    </row>
    <row r="102" spans="1:9" ht="38.25" x14ac:dyDescent="0.25">
      <c r="A102" s="193"/>
      <c r="B102" s="193"/>
      <c r="C102" s="8" t="s">
        <v>100</v>
      </c>
      <c r="D102" s="1">
        <v>152</v>
      </c>
      <c r="E102" s="6">
        <f t="shared" si="4"/>
        <v>27153.289473684217</v>
      </c>
      <c r="F102" s="6">
        <f t="shared" si="6"/>
        <v>4127300.0000000009</v>
      </c>
      <c r="G102" s="9">
        <v>853700</v>
      </c>
      <c r="H102" s="6">
        <v>4981000.0000000009</v>
      </c>
      <c r="I102" s="15"/>
    </row>
    <row r="103" spans="1:9" ht="38.25" x14ac:dyDescent="0.25">
      <c r="A103" s="193"/>
      <c r="B103" s="193"/>
      <c r="C103" s="8" t="s">
        <v>101</v>
      </c>
      <c r="D103" s="1">
        <v>317</v>
      </c>
      <c r="E103" s="6">
        <f t="shared" si="4"/>
        <v>20119.873817034695</v>
      </c>
      <c r="F103" s="6">
        <f t="shared" si="6"/>
        <v>6377999.9999999981</v>
      </c>
      <c r="G103" s="9">
        <v>1158900</v>
      </c>
      <c r="H103" s="6">
        <v>7536899.9999999981</v>
      </c>
      <c r="I103" s="15"/>
    </row>
    <row r="104" spans="1:9" ht="38.25" x14ac:dyDescent="0.25">
      <c r="A104" s="193"/>
      <c r="B104" s="193"/>
      <c r="C104" s="8" t="s">
        <v>102</v>
      </c>
      <c r="D104" s="1">
        <v>225</v>
      </c>
      <c r="E104" s="6">
        <f t="shared" si="4"/>
        <v>21986.666666666664</v>
      </c>
      <c r="F104" s="6">
        <f t="shared" si="6"/>
        <v>4946999.9999999991</v>
      </c>
      <c r="G104" s="9">
        <v>924900.00000000012</v>
      </c>
      <c r="H104" s="6">
        <v>5871899.9999999991</v>
      </c>
      <c r="I104" s="15"/>
    </row>
    <row r="105" spans="1:9" ht="38.25" x14ac:dyDescent="0.25">
      <c r="A105" s="193"/>
      <c r="B105" s="193"/>
      <c r="C105" s="8" t="s">
        <v>103</v>
      </c>
      <c r="D105" s="1">
        <v>304</v>
      </c>
      <c r="E105" s="6">
        <f t="shared" si="4"/>
        <v>22266.77631578947</v>
      </c>
      <c r="F105" s="6">
        <f t="shared" si="6"/>
        <v>6769099.9999999991</v>
      </c>
      <c r="G105" s="9">
        <v>1094300.0000000002</v>
      </c>
      <c r="H105" s="6">
        <v>7863399.9999999991</v>
      </c>
      <c r="I105" s="15"/>
    </row>
    <row r="106" spans="1:9" ht="38.25" x14ac:dyDescent="0.25">
      <c r="A106" s="193"/>
      <c r="B106" s="193"/>
      <c r="C106" s="8" t="s">
        <v>104</v>
      </c>
      <c r="D106" s="1">
        <v>256</v>
      </c>
      <c r="E106" s="6">
        <f t="shared" si="4"/>
        <v>24852.734375000007</v>
      </c>
      <c r="F106" s="6">
        <f t="shared" si="6"/>
        <v>6362300.0000000019</v>
      </c>
      <c r="G106" s="9">
        <v>1072400</v>
      </c>
      <c r="H106" s="6">
        <v>7434700.0000000019</v>
      </c>
      <c r="I106" s="15"/>
    </row>
    <row r="107" spans="1:9" ht="38.25" x14ac:dyDescent="0.25">
      <c r="A107" s="193"/>
      <c r="B107" s="193"/>
      <c r="C107" s="8" t="s">
        <v>105</v>
      </c>
      <c r="D107" s="1">
        <v>352</v>
      </c>
      <c r="E107" s="6">
        <f t="shared" si="4"/>
        <v>23129.54545454546</v>
      </c>
      <c r="F107" s="6">
        <f t="shared" si="6"/>
        <v>8141600.0000000019</v>
      </c>
      <c r="G107" s="9">
        <v>1948900</v>
      </c>
      <c r="H107" s="6">
        <v>10090500.000000002</v>
      </c>
      <c r="I107" s="15"/>
    </row>
    <row r="108" spans="1:9" ht="38.25" x14ac:dyDescent="0.25">
      <c r="A108" s="193"/>
      <c r="B108" s="193"/>
      <c r="C108" s="8" t="s">
        <v>106</v>
      </c>
      <c r="D108" s="1">
        <v>175</v>
      </c>
      <c r="E108" s="6">
        <f t="shared" si="4"/>
        <v>19625.714285714286</v>
      </c>
      <c r="F108" s="6">
        <f t="shared" si="6"/>
        <v>3434500</v>
      </c>
      <c r="G108" s="9">
        <v>645200</v>
      </c>
      <c r="H108" s="6">
        <v>4079700</v>
      </c>
      <c r="I108" s="15"/>
    </row>
    <row r="109" spans="1:9" ht="38.25" x14ac:dyDescent="0.25">
      <c r="A109" s="193"/>
      <c r="B109" s="193"/>
      <c r="C109" s="8" t="s">
        <v>107</v>
      </c>
      <c r="D109" s="1">
        <v>72</v>
      </c>
      <c r="E109" s="6">
        <f t="shared" si="4"/>
        <v>24494.444444444453</v>
      </c>
      <c r="F109" s="6">
        <f t="shared" si="6"/>
        <v>1763600.0000000005</v>
      </c>
      <c r="G109" s="9">
        <v>474800</v>
      </c>
      <c r="H109" s="6">
        <v>2238400.0000000005</v>
      </c>
      <c r="I109" s="15"/>
    </row>
    <row r="110" spans="1:9" ht="38.25" x14ac:dyDescent="0.25">
      <c r="A110" s="193"/>
      <c r="B110" s="193"/>
      <c r="C110" s="8" t="s">
        <v>108</v>
      </c>
      <c r="D110" s="1">
        <v>195</v>
      </c>
      <c r="E110" s="6">
        <f t="shared" si="4"/>
        <v>27640</v>
      </c>
      <c r="F110" s="6">
        <f t="shared" si="6"/>
        <v>5389800</v>
      </c>
      <c r="G110" s="9">
        <v>1558500</v>
      </c>
      <c r="H110" s="6">
        <v>6948300</v>
      </c>
      <c r="I110" s="15"/>
    </row>
    <row r="111" spans="1:9" ht="38.25" x14ac:dyDescent="0.25">
      <c r="A111" s="193"/>
      <c r="B111" s="193"/>
      <c r="C111" s="8" t="s">
        <v>109</v>
      </c>
      <c r="D111" s="1">
        <v>313</v>
      </c>
      <c r="E111" s="6">
        <f t="shared" si="4"/>
        <v>21613.738019169326</v>
      </c>
      <c r="F111" s="6">
        <f t="shared" si="6"/>
        <v>6765099.9999999991</v>
      </c>
      <c r="G111" s="9">
        <v>976199.99999999988</v>
      </c>
      <c r="H111" s="6">
        <v>7741299.9999999991</v>
      </c>
      <c r="I111" s="15"/>
    </row>
    <row r="112" spans="1:9" ht="38.25" x14ac:dyDescent="0.25">
      <c r="A112" s="193"/>
      <c r="B112" s="193"/>
      <c r="C112" s="8" t="s">
        <v>110</v>
      </c>
      <c r="D112" s="1">
        <v>81</v>
      </c>
      <c r="E112" s="6">
        <f t="shared" si="4"/>
        <v>25693.827160493835</v>
      </c>
      <c r="F112" s="6">
        <f t="shared" si="6"/>
        <v>2081200.0000000005</v>
      </c>
      <c r="G112" s="9">
        <v>517299.99999999994</v>
      </c>
      <c r="H112" s="6">
        <v>2598500.0000000005</v>
      </c>
      <c r="I112" s="15"/>
    </row>
    <row r="113" spans="1:9" ht="38.25" x14ac:dyDescent="0.25">
      <c r="A113" s="193"/>
      <c r="B113" s="193"/>
      <c r="C113" s="8" t="s">
        <v>111</v>
      </c>
      <c r="D113" s="1">
        <v>69</v>
      </c>
      <c r="E113" s="6">
        <f t="shared" si="4"/>
        <v>27101.44927536232</v>
      </c>
      <c r="F113" s="6">
        <f t="shared" si="6"/>
        <v>1870000</v>
      </c>
      <c r="G113" s="9">
        <v>675500</v>
      </c>
      <c r="H113" s="6">
        <v>2545500</v>
      </c>
      <c r="I113" s="15"/>
    </row>
    <row r="114" spans="1:9" ht="38.25" x14ac:dyDescent="0.25">
      <c r="A114" s="193"/>
      <c r="B114" s="193"/>
      <c r="C114" s="8" t="s">
        <v>112</v>
      </c>
      <c r="D114" s="1">
        <v>108</v>
      </c>
      <c r="E114" s="6">
        <f t="shared" si="4"/>
        <v>22970.370370370376</v>
      </c>
      <c r="F114" s="6">
        <f t="shared" si="6"/>
        <v>2480800.0000000005</v>
      </c>
      <c r="G114" s="9">
        <v>525599.99999999988</v>
      </c>
      <c r="H114" s="6">
        <v>3006400.0000000005</v>
      </c>
      <c r="I114" s="15"/>
    </row>
    <row r="115" spans="1:9" ht="38.25" x14ac:dyDescent="0.25">
      <c r="A115" s="193"/>
      <c r="B115" s="193"/>
      <c r="C115" s="8" t="s">
        <v>113</v>
      </c>
      <c r="D115" s="1">
        <v>130</v>
      </c>
      <c r="E115" s="6">
        <f t="shared" si="4"/>
        <v>25817.692307692312</v>
      </c>
      <c r="F115" s="6">
        <f t="shared" si="6"/>
        <v>3356300.0000000005</v>
      </c>
      <c r="G115" s="9">
        <v>525700</v>
      </c>
      <c r="H115" s="6">
        <v>3882000.0000000005</v>
      </c>
      <c r="I115" s="15"/>
    </row>
    <row r="116" spans="1:9" ht="38.25" x14ac:dyDescent="0.25">
      <c r="A116" s="193"/>
      <c r="B116" s="193"/>
      <c r="C116" s="8" t="s">
        <v>15</v>
      </c>
      <c r="D116" s="1">
        <v>341</v>
      </c>
      <c r="E116" s="6">
        <f t="shared" si="4"/>
        <v>23141.05571847508</v>
      </c>
      <c r="F116" s="6">
        <f t="shared" si="6"/>
        <v>7891100.0000000019</v>
      </c>
      <c r="G116" s="9">
        <v>1692400</v>
      </c>
      <c r="H116" s="6">
        <v>9583500.0000000019</v>
      </c>
      <c r="I116" s="15"/>
    </row>
    <row r="117" spans="1:9" ht="38.25" x14ac:dyDescent="0.25">
      <c r="A117" s="193"/>
      <c r="B117" s="193"/>
      <c r="C117" s="8" t="s">
        <v>114</v>
      </c>
      <c r="D117" s="1">
        <v>95</v>
      </c>
      <c r="E117" s="6">
        <f t="shared" si="4"/>
        <v>31133.684210526317</v>
      </c>
      <c r="F117" s="6">
        <f t="shared" si="6"/>
        <v>2957700</v>
      </c>
      <c r="G117" s="9">
        <v>839000</v>
      </c>
      <c r="H117" s="6">
        <v>3796700</v>
      </c>
      <c r="I117" s="15"/>
    </row>
    <row r="118" spans="1:9" ht="38.25" x14ac:dyDescent="0.25">
      <c r="A118" s="193"/>
      <c r="B118" s="193"/>
      <c r="C118" s="8" t="s">
        <v>115</v>
      </c>
      <c r="D118" s="1">
        <v>52</v>
      </c>
      <c r="E118" s="6">
        <f t="shared" si="4"/>
        <v>33953.846153846142</v>
      </c>
      <c r="F118" s="6">
        <f t="shared" si="6"/>
        <v>1765599.9999999995</v>
      </c>
      <c r="G118" s="9">
        <v>605599.99999999988</v>
      </c>
      <c r="H118" s="6">
        <v>2371199.9999999995</v>
      </c>
      <c r="I118" s="15"/>
    </row>
    <row r="119" spans="1:9" ht="38.25" x14ac:dyDescent="0.25">
      <c r="A119" s="193"/>
      <c r="B119" s="193"/>
      <c r="C119" s="8" t="s">
        <v>116</v>
      </c>
      <c r="D119" s="1">
        <v>310</v>
      </c>
      <c r="E119" s="6">
        <f t="shared" si="4"/>
        <v>19391.935483870966</v>
      </c>
      <c r="F119" s="6">
        <f t="shared" si="6"/>
        <v>6011500</v>
      </c>
      <c r="G119" s="9">
        <v>910000</v>
      </c>
      <c r="H119" s="6">
        <v>6921500</v>
      </c>
      <c r="I119" s="15"/>
    </row>
    <row r="120" spans="1:9" ht="38.25" x14ac:dyDescent="0.25">
      <c r="A120" s="193"/>
      <c r="B120" s="193"/>
      <c r="C120" s="8" t="s">
        <v>117</v>
      </c>
      <c r="D120" s="1">
        <v>151</v>
      </c>
      <c r="E120" s="6">
        <f t="shared" si="4"/>
        <v>26668.2119205298</v>
      </c>
      <c r="F120" s="6">
        <f t="shared" si="6"/>
        <v>4026900</v>
      </c>
      <c r="G120" s="9">
        <v>532600</v>
      </c>
      <c r="H120" s="6">
        <v>4559500</v>
      </c>
      <c r="I120" s="15"/>
    </row>
    <row r="121" spans="1:9" ht="38.25" x14ac:dyDescent="0.25">
      <c r="A121" s="193"/>
      <c r="B121" s="193"/>
      <c r="C121" s="8" t="s">
        <v>118</v>
      </c>
      <c r="D121" s="1">
        <v>120</v>
      </c>
      <c r="E121" s="6">
        <f t="shared" si="4"/>
        <v>24006.666666666668</v>
      </c>
      <c r="F121" s="6">
        <f t="shared" si="6"/>
        <v>2880800</v>
      </c>
      <c r="G121" s="9">
        <v>548900</v>
      </c>
      <c r="H121" s="6">
        <v>3429700</v>
      </c>
      <c r="I121" s="15"/>
    </row>
    <row r="122" spans="1:9" ht="38.25" x14ac:dyDescent="0.25">
      <c r="A122" s="193"/>
      <c r="B122" s="193"/>
      <c r="C122" s="8" t="s">
        <v>119</v>
      </c>
      <c r="D122" s="1">
        <v>144</v>
      </c>
      <c r="E122" s="6">
        <f t="shared" si="4"/>
        <v>26637.500000000007</v>
      </c>
      <c r="F122" s="6">
        <f t="shared" si="6"/>
        <v>3835800.0000000009</v>
      </c>
      <c r="G122" s="9">
        <v>707000</v>
      </c>
      <c r="H122" s="6">
        <v>4542800.0000000009</v>
      </c>
      <c r="I122" s="15"/>
    </row>
    <row r="123" spans="1:9" ht="38.25" x14ac:dyDescent="0.25">
      <c r="A123" s="193"/>
      <c r="B123" s="193"/>
      <c r="C123" s="8" t="s">
        <v>120</v>
      </c>
      <c r="D123" s="1">
        <v>366</v>
      </c>
      <c r="E123" s="6">
        <f t="shared" si="4"/>
        <v>23285.519125683059</v>
      </c>
      <c r="F123" s="6">
        <f t="shared" si="6"/>
        <v>8522500</v>
      </c>
      <c r="G123" s="9">
        <v>1715500</v>
      </c>
      <c r="H123" s="6">
        <v>10238000</v>
      </c>
      <c r="I123" s="15"/>
    </row>
    <row r="124" spans="1:9" ht="38.25" x14ac:dyDescent="0.25">
      <c r="A124" s="193"/>
      <c r="B124" s="193"/>
      <c r="C124" s="8" t="s">
        <v>121</v>
      </c>
      <c r="D124" s="1">
        <v>160</v>
      </c>
      <c r="E124" s="6">
        <f t="shared" si="4"/>
        <v>24760.000000000007</v>
      </c>
      <c r="F124" s="6">
        <f t="shared" si="6"/>
        <v>3961600.0000000009</v>
      </c>
      <c r="G124" s="9">
        <v>665400</v>
      </c>
      <c r="H124" s="6">
        <v>4627000.0000000009</v>
      </c>
      <c r="I124" s="15"/>
    </row>
    <row r="125" spans="1:9" ht="38.25" x14ac:dyDescent="0.25">
      <c r="A125" s="193"/>
      <c r="B125" s="193"/>
      <c r="C125" s="8" t="s">
        <v>122</v>
      </c>
      <c r="D125" s="1">
        <v>274</v>
      </c>
      <c r="E125" s="6">
        <f t="shared" si="4"/>
        <v>29617.153284671534</v>
      </c>
      <c r="F125" s="6">
        <f t="shared" si="6"/>
        <v>8115100</v>
      </c>
      <c r="G125" s="9">
        <v>1320500</v>
      </c>
      <c r="H125" s="6">
        <v>9435600</v>
      </c>
      <c r="I125" s="15"/>
    </row>
    <row r="126" spans="1:9" ht="38.25" x14ac:dyDescent="0.25">
      <c r="A126" s="193"/>
      <c r="B126" s="193"/>
      <c r="C126" s="8" t="s">
        <v>16</v>
      </c>
      <c r="D126" s="1">
        <v>309</v>
      </c>
      <c r="E126" s="6">
        <f t="shared" si="4"/>
        <v>25764.401294498377</v>
      </c>
      <c r="F126" s="6">
        <f t="shared" si="6"/>
        <v>7961199.9999999981</v>
      </c>
      <c r="G126" s="9">
        <v>1661000</v>
      </c>
      <c r="H126" s="6">
        <v>9622199.9999999981</v>
      </c>
      <c r="I126" s="15"/>
    </row>
    <row r="127" spans="1:9" ht="38.25" x14ac:dyDescent="0.25">
      <c r="A127" s="193"/>
      <c r="B127" s="193"/>
      <c r="C127" s="8" t="s">
        <v>123</v>
      </c>
      <c r="D127" s="1">
        <v>350</v>
      </c>
      <c r="E127" s="6">
        <f t="shared" si="4"/>
        <v>22624.285714285714</v>
      </c>
      <c r="F127" s="6">
        <f t="shared" si="6"/>
        <v>7918500</v>
      </c>
      <c r="G127" s="9">
        <v>1697100.0000000002</v>
      </c>
      <c r="H127" s="6">
        <v>9615600</v>
      </c>
      <c r="I127" s="15"/>
    </row>
    <row r="128" spans="1:9" ht="38.25" x14ac:dyDescent="0.25">
      <c r="A128" s="193"/>
      <c r="B128" s="193"/>
      <c r="C128" s="8" t="s">
        <v>124</v>
      </c>
      <c r="D128" s="1">
        <v>55</v>
      </c>
      <c r="E128" s="6">
        <f t="shared" si="4"/>
        <v>25656.363636363636</v>
      </c>
      <c r="F128" s="6">
        <f t="shared" si="6"/>
        <v>1411100</v>
      </c>
      <c r="G128" s="9">
        <v>446599.99999999994</v>
      </c>
      <c r="H128" s="6">
        <v>1857700</v>
      </c>
      <c r="I128" s="15"/>
    </row>
    <row r="129" spans="1:9" ht="38.25" x14ac:dyDescent="0.25">
      <c r="A129" s="193"/>
      <c r="B129" s="193"/>
      <c r="C129" s="8" t="s">
        <v>125</v>
      </c>
      <c r="D129" s="1">
        <v>95</v>
      </c>
      <c r="E129" s="6">
        <f t="shared" si="4"/>
        <v>20636.842105263164</v>
      </c>
      <c r="F129" s="6">
        <f t="shared" si="6"/>
        <v>1960500.0000000005</v>
      </c>
      <c r="G129" s="9">
        <v>598099.99999999988</v>
      </c>
      <c r="H129" s="6">
        <v>2558600.0000000005</v>
      </c>
      <c r="I129" s="15"/>
    </row>
    <row r="130" spans="1:9" ht="25.5" customHeight="1" x14ac:dyDescent="0.25">
      <c r="A130" s="194">
        <v>3</v>
      </c>
      <c r="B130" s="194" t="s">
        <v>17</v>
      </c>
      <c r="C130" s="8" t="s">
        <v>24</v>
      </c>
      <c r="D130" s="1">
        <v>876</v>
      </c>
      <c r="E130" s="6">
        <f t="shared" si="4"/>
        <v>113255.02283105023</v>
      </c>
      <c r="F130" s="6">
        <f t="shared" ref="F130:F161" si="7">H130-G130</f>
        <v>99211400</v>
      </c>
      <c r="G130" s="7">
        <v>2089500</v>
      </c>
      <c r="H130" s="6">
        <v>101300900</v>
      </c>
      <c r="I130" s="15"/>
    </row>
    <row r="131" spans="1:9" ht="25.5" x14ac:dyDescent="0.25">
      <c r="A131" s="195"/>
      <c r="B131" s="195"/>
      <c r="C131" s="8" t="s">
        <v>23</v>
      </c>
      <c r="D131" s="1">
        <v>1256</v>
      </c>
      <c r="E131" s="6">
        <f t="shared" si="4"/>
        <v>60866.162420382163</v>
      </c>
      <c r="F131" s="6">
        <f t="shared" si="7"/>
        <v>76447900</v>
      </c>
      <c r="G131" s="7">
        <v>2857400</v>
      </c>
      <c r="H131" s="6">
        <v>79305300</v>
      </c>
      <c r="I131" s="15"/>
    </row>
    <row r="132" spans="1:9" ht="25.5" x14ac:dyDescent="0.25">
      <c r="A132" s="195"/>
      <c r="B132" s="195"/>
      <c r="C132" s="8" t="s">
        <v>38</v>
      </c>
      <c r="D132" s="1">
        <v>904</v>
      </c>
      <c r="E132" s="6">
        <f t="shared" si="4"/>
        <v>67960.508849557518</v>
      </c>
      <c r="F132" s="6">
        <f t="shared" si="7"/>
        <v>61436300</v>
      </c>
      <c r="G132" s="7">
        <v>2120100</v>
      </c>
      <c r="H132" s="6">
        <v>63556400</v>
      </c>
      <c r="I132" s="15"/>
    </row>
    <row r="133" spans="1:9" ht="51" x14ac:dyDescent="0.25">
      <c r="A133" s="195"/>
      <c r="B133" s="195"/>
      <c r="C133" s="8" t="s">
        <v>127</v>
      </c>
      <c r="D133" s="1">
        <v>1126</v>
      </c>
      <c r="E133" s="6">
        <f t="shared" ref="E133:E175" si="8">F133/D133</f>
        <v>48815.985790408529</v>
      </c>
      <c r="F133" s="6">
        <f t="shared" si="7"/>
        <v>54966800</v>
      </c>
      <c r="G133" s="7">
        <v>2170700</v>
      </c>
      <c r="H133" s="6">
        <v>57137500</v>
      </c>
      <c r="I133" s="15"/>
    </row>
    <row r="134" spans="1:9" ht="63.75" x14ac:dyDescent="0.25">
      <c r="A134" s="195"/>
      <c r="B134" s="195"/>
      <c r="C134" s="8" t="s">
        <v>128</v>
      </c>
      <c r="D134" s="1">
        <v>1384</v>
      </c>
      <c r="E134" s="6">
        <f t="shared" si="8"/>
        <v>53373.410404624279</v>
      </c>
      <c r="F134" s="6">
        <f t="shared" si="7"/>
        <v>73868800</v>
      </c>
      <c r="G134" s="7">
        <v>5972600</v>
      </c>
      <c r="H134" s="6">
        <v>79841400</v>
      </c>
      <c r="I134" s="15"/>
    </row>
    <row r="135" spans="1:9" ht="51" x14ac:dyDescent="0.25">
      <c r="A135" s="195"/>
      <c r="B135" s="195"/>
      <c r="C135" s="8" t="s">
        <v>129</v>
      </c>
      <c r="D135" s="1">
        <v>614</v>
      </c>
      <c r="E135" s="6">
        <f t="shared" si="8"/>
        <v>89928.501628664497</v>
      </c>
      <c r="F135" s="6">
        <f t="shared" si="7"/>
        <v>55216100</v>
      </c>
      <c r="G135" s="7">
        <v>2042600</v>
      </c>
      <c r="H135" s="6">
        <v>57258700</v>
      </c>
      <c r="I135" s="15"/>
    </row>
    <row r="136" spans="1:9" ht="63.75" x14ac:dyDescent="0.25">
      <c r="A136" s="195"/>
      <c r="B136" s="195"/>
      <c r="C136" s="8" t="s">
        <v>130</v>
      </c>
      <c r="D136" s="7">
        <v>964</v>
      </c>
      <c r="E136" s="6">
        <f t="shared" si="8"/>
        <v>90106.016597510374</v>
      </c>
      <c r="F136" s="6">
        <f t="shared" si="7"/>
        <v>86862200</v>
      </c>
      <c r="G136" s="7">
        <v>5631800</v>
      </c>
      <c r="H136" s="6">
        <v>92494000</v>
      </c>
      <c r="I136" s="15"/>
    </row>
    <row r="137" spans="1:9" ht="63.75" x14ac:dyDescent="0.25">
      <c r="A137" s="195"/>
      <c r="B137" s="195"/>
      <c r="C137" s="8" t="s">
        <v>131</v>
      </c>
      <c r="D137" s="7">
        <v>286</v>
      </c>
      <c r="E137" s="6">
        <f t="shared" si="8"/>
        <v>107775.52447552448</v>
      </c>
      <c r="F137" s="6">
        <f t="shared" si="7"/>
        <v>30823800</v>
      </c>
      <c r="G137" s="7">
        <v>1573299.9999999998</v>
      </c>
      <c r="H137" s="6">
        <v>32397100</v>
      </c>
      <c r="I137" s="15"/>
    </row>
    <row r="138" spans="1:9" ht="38.25" x14ac:dyDescent="0.25">
      <c r="A138" s="195"/>
      <c r="B138" s="195"/>
      <c r="C138" s="8" t="s">
        <v>132</v>
      </c>
      <c r="D138" s="7">
        <v>555</v>
      </c>
      <c r="E138" s="6">
        <f t="shared" si="8"/>
        <v>56160.54054054054</v>
      </c>
      <c r="F138" s="6">
        <f t="shared" si="7"/>
        <v>31169100</v>
      </c>
      <c r="G138" s="7">
        <v>1967199.9999999998</v>
      </c>
      <c r="H138" s="6">
        <v>33136300</v>
      </c>
      <c r="I138" s="15"/>
    </row>
    <row r="139" spans="1:9" ht="38.25" x14ac:dyDescent="0.25">
      <c r="A139" s="195"/>
      <c r="B139" s="195"/>
      <c r="C139" s="8" t="s">
        <v>46</v>
      </c>
      <c r="D139" s="1">
        <v>1117</v>
      </c>
      <c r="E139" s="6">
        <f t="shared" si="8"/>
        <v>46976.991942703673</v>
      </c>
      <c r="F139" s="6">
        <f t="shared" si="7"/>
        <v>52473300</v>
      </c>
      <c r="G139" s="7">
        <v>1886700</v>
      </c>
      <c r="H139" s="6">
        <v>54360000</v>
      </c>
      <c r="I139" s="15"/>
    </row>
    <row r="140" spans="1:9" ht="38.25" x14ac:dyDescent="0.25">
      <c r="A140" s="195"/>
      <c r="B140" s="195"/>
      <c r="C140" s="8" t="s">
        <v>47</v>
      </c>
      <c r="D140" s="1">
        <v>512</v>
      </c>
      <c r="E140" s="6">
        <f t="shared" si="8"/>
        <v>52936.1328125</v>
      </c>
      <c r="F140" s="6">
        <f t="shared" si="7"/>
        <v>27103300</v>
      </c>
      <c r="G140" s="7">
        <v>1813600</v>
      </c>
      <c r="H140" s="6">
        <v>28916900</v>
      </c>
      <c r="I140" s="15"/>
    </row>
    <row r="141" spans="1:9" ht="38.25" x14ac:dyDescent="0.25">
      <c r="A141" s="195"/>
      <c r="B141" s="195"/>
      <c r="C141" s="8" t="s">
        <v>48</v>
      </c>
      <c r="D141" s="1">
        <v>1063</v>
      </c>
      <c r="E141" s="6">
        <f t="shared" si="8"/>
        <v>52596.801505174037</v>
      </c>
      <c r="F141" s="6">
        <f t="shared" si="7"/>
        <v>55910400</v>
      </c>
      <c r="G141" s="7">
        <v>6684000</v>
      </c>
      <c r="H141" s="6">
        <v>62594400</v>
      </c>
      <c r="I141" s="15"/>
    </row>
    <row r="142" spans="1:9" ht="38.25" x14ac:dyDescent="0.25">
      <c r="A142" s="195"/>
      <c r="B142" s="195"/>
      <c r="C142" s="8" t="s">
        <v>41</v>
      </c>
      <c r="D142" s="1">
        <v>1099</v>
      </c>
      <c r="E142" s="6">
        <f t="shared" si="8"/>
        <v>45549.135577797999</v>
      </c>
      <c r="F142" s="6">
        <f t="shared" si="7"/>
        <v>50058500</v>
      </c>
      <c r="G142" s="7">
        <v>2094000</v>
      </c>
      <c r="H142" s="6">
        <v>52152500</v>
      </c>
      <c r="I142" s="15"/>
    </row>
    <row r="143" spans="1:9" ht="38.25" x14ac:dyDescent="0.25">
      <c r="A143" s="195"/>
      <c r="B143" s="195"/>
      <c r="C143" s="8" t="s">
        <v>18</v>
      </c>
      <c r="D143" s="1">
        <v>253</v>
      </c>
      <c r="E143" s="6">
        <f t="shared" si="8"/>
        <v>72446.640316205536</v>
      </c>
      <c r="F143" s="6">
        <f t="shared" si="7"/>
        <v>18329000</v>
      </c>
      <c r="G143" s="7">
        <v>1012899.9999999999</v>
      </c>
      <c r="H143" s="6">
        <v>19341900</v>
      </c>
      <c r="I143" s="15"/>
    </row>
    <row r="144" spans="1:9" ht="38.25" x14ac:dyDescent="0.25">
      <c r="A144" s="195"/>
      <c r="B144" s="195"/>
      <c r="C144" s="8" t="s">
        <v>19</v>
      </c>
      <c r="D144" s="1">
        <v>437</v>
      </c>
      <c r="E144" s="6">
        <f t="shared" si="8"/>
        <v>81688.100686498859</v>
      </c>
      <c r="F144" s="6">
        <f t="shared" si="7"/>
        <v>35697700</v>
      </c>
      <c r="G144" s="7">
        <v>1600900</v>
      </c>
      <c r="H144" s="6">
        <v>37298600</v>
      </c>
      <c r="I144" s="15"/>
    </row>
    <row r="145" spans="1:9" ht="38.25" x14ac:dyDescent="0.25">
      <c r="A145" s="195"/>
      <c r="B145" s="195"/>
      <c r="C145" s="8" t="s">
        <v>42</v>
      </c>
      <c r="D145" s="1">
        <v>305</v>
      </c>
      <c r="E145" s="6">
        <f t="shared" si="8"/>
        <v>55020.327868852459</v>
      </c>
      <c r="F145" s="6">
        <f t="shared" si="7"/>
        <v>16781200</v>
      </c>
      <c r="G145" s="7">
        <v>930000</v>
      </c>
      <c r="H145" s="6">
        <v>17711200</v>
      </c>
      <c r="I145" s="15"/>
    </row>
    <row r="146" spans="1:9" ht="38.25" x14ac:dyDescent="0.25">
      <c r="A146" s="195"/>
      <c r="B146" s="195"/>
      <c r="C146" s="8" t="s">
        <v>43</v>
      </c>
      <c r="D146" s="1">
        <v>532</v>
      </c>
      <c r="E146" s="6">
        <f t="shared" si="8"/>
        <v>56810.714285714283</v>
      </c>
      <c r="F146" s="6">
        <f t="shared" si="7"/>
        <v>30223300</v>
      </c>
      <c r="G146" s="7">
        <v>970400.00000000012</v>
      </c>
      <c r="H146" s="6">
        <v>31193700</v>
      </c>
      <c r="I146" s="15"/>
    </row>
    <row r="147" spans="1:9" ht="38.25" x14ac:dyDescent="0.25">
      <c r="A147" s="195"/>
      <c r="B147" s="195"/>
      <c r="C147" s="8" t="s">
        <v>45</v>
      </c>
      <c r="D147" s="1">
        <v>161</v>
      </c>
      <c r="E147" s="6">
        <f t="shared" si="8"/>
        <v>89653.416149068318</v>
      </c>
      <c r="F147" s="6">
        <f t="shared" si="7"/>
        <v>14434200</v>
      </c>
      <c r="G147" s="7">
        <v>607300</v>
      </c>
      <c r="H147" s="6">
        <v>15041500</v>
      </c>
      <c r="I147" s="15"/>
    </row>
    <row r="148" spans="1:9" ht="38.25" x14ac:dyDescent="0.25">
      <c r="A148" s="195"/>
      <c r="B148" s="195"/>
      <c r="C148" s="8" t="s">
        <v>133</v>
      </c>
      <c r="D148" s="1">
        <v>373</v>
      </c>
      <c r="E148" s="6">
        <f t="shared" si="8"/>
        <v>67250.670241286862</v>
      </c>
      <c r="F148" s="6">
        <f t="shared" si="7"/>
        <v>25084500</v>
      </c>
      <c r="G148" s="7">
        <v>1190200</v>
      </c>
      <c r="H148" s="6">
        <v>26274700</v>
      </c>
      <c r="I148" s="15"/>
    </row>
    <row r="149" spans="1:9" ht="38.25" x14ac:dyDescent="0.25">
      <c r="A149" s="195"/>
      <c r="B149" s="195"/>
      <c r="C149" s="8" t="s">
        <v>134</v>
      </c>
      <c r="D149" s="1">
        <v>450</v>
      </c>
      <c r="E149" s="6">
        <f t="shared" si="8"/>
        <v>57886.444444444445</v>
      </c>
      <c r="F149" s="6">
        <f t="shared" si="7"/>
        <v>26048900</v>
      </c>
      <c r="G149" s="7">
        <v>1077199.9999999998</v>
      </c>
      <c r="H149" s="6">
        <v>27126100</v>
      </c>
      <c r="I149" s="15"/>
    </row>
    <row r="150" spans="1:9" ht="38.25" x14ac:dyDescent="0.25">
      <c r="A150" s="195"/>
      <c r="B150" s="195"/>
      <c r="C150" s="8" t="s">
        <v>49</v>
      </c>
      <c r="D150" s="1">
        <v>196</v>
      </c>
      <c r="E150" s="6">
        <f t="shared" si="8"/>
        <v>71780.102040816331</v>
      </c>
      <c r="F150" s="6">
        <f t="shared" si="7"/>
        <v>14068900</v>
      </c>
      <c r="G150" s="7">
        <v>1293600</v>
      </c>
      <c r="H150" s="6">
        <v>15362500</v>
      </c>
      <c r="I150" s="15"/>
    </row>
    <row r="151" spans="1:9" ht="38.25" x14ac:dyDescent="0.25">
      <c r="A151" s="195"/>
      <c r="B151" s="195"/>
      <c r="C151" s="8" t="s">
        <v>21</v>
      </c>
      <c r="D151" s="1">
        <v>245</v>
      </c>
      <c r="E151" s="6">
        <f t="shared" si="8"/>
        <v>100805.71428571429</v>
      </c>
      <c r="F151" s="6">
        <f t="shared" si="7"/>
        <v>24697400</v>
      </c>
      <c r="G151" s="7">
        <v>1391700</v>
      </c>
      <c r="H151" s="6">
        <v>26089100</v>
      </c>
      <c r="I151" s="15"/>
    </row>
    <row r="152" spans="1:9" ht="38.25" x14ac:dyDescent="0.25">
      <c r="A152" s="195"/>
      <c r="B152" s="195"/>
      <c r="C152" s="8" t="s">
        <v>35</v>
      </c>
      <c r="D152" s="1">
        <v>389</v>
      </c>
      <c r="E152" s="6">
        <f t="shared" si="8"/>
        <v>80201.542416452445</v>
      </c>
      <c r="F152" s="6">
        <f t="shared" si="7"/>
        <v>31198400</v>
      </c>
      <c r="G152" s="7">
        <v>1499600</v>
      </c>
      <c r="H152" s="6">
        <v>32698000</v>
      </c>
      <c r="I152" s="15"/>
    </row>
    <row r="153" spans="1:9" ht="38.25" x14ac:dyDescent="0.25">
      <c r="A153" s="195"/>
      <c r="B153" s="195"/>
      <c r="C153" s="8" t="s">
        <v>50</v>
      </c>
      <c r="D153" s="1">
        <v>300</v>
      </c>
      <c r="E153" s="6">
        <f t="shared" si="8"/>
        <v>96606</v>
      </c>
      <c r="F153" s="6">
        <f t="shared" si="7"/>
        <v>28981800</v>
      </c>
      <c r="G153" s="7">
        <v>1299300</v>
      </c>
      <c r="H153" s="6">
        <v>30281100</v>
      </c>
      <c r="I153" s="15"/>
    </row>
    <row r="154" spans="1:9" ht="38.25" x14ac:dyDescent="0.25">
      <c r="A154" s="195"/>
      <c r="B154" s="195"/>
      <c r="C154" s="8" t="s">
        <v>28</v>
      </c>
      <c r="D154" s="1">
        <v>501</v>
      </c>
      <c r="E154" s="6">
        <f t="shared" si="8"/>
        <v>70770.459081836321</v>
      </c>
      <c r="F154" s="6">
        <f t="shared" si="7"/>
        <v>35456000</v>
      </c>
      <c r="G154" s="7">
        <v>4294600</v>
      </c>
      <c r="H154" s="6">
        <v>39750600</v>
      </c>
      <c r="I154" s="15"/>
    </row>
    <row r="155" spans="1:9" ht="38.25" x14ac:dyDescent="0.25">
      <c r="A155" s="195"/>
      <c r="B155" s="195"/>
      <c r="C155" s="8" t="s">
        <v>36</v>
      </c>
      <c r="D155" s="1">
        <v>213</v>
      </c>
      <c r="E155" s="6">
        <f t="shared" si="8"/>
        <v>98578.403755868538</v>
      </c>
      <c r="F155" s="6">
        <f t="shared" si="7"/>
        <v>20997200</v>
      </c>
      <c r="G155" s="7">
        <v>1360699.9999999998</v>
      </c>
      <c r="H155" s="6">
        <v>22357900</v>
      </c>
      <c r="I155" s="15"/>
    </row>
    <row r="156" spans="1:9" ht="38.25" x14ac:dyDescent="0.25">
      <c r="A156" s="195"/>
      <c r="B156" s="195"/>
      <c r="C156" s="8" t="s">
        <v>39</v>
      </c>
      <c r="D156" s="1">
        <v>104</v>
      </c>
      <c r="E156" s="6">
        <f t="shared" si="8"/>
        <v>116650.96153846153</v>
      </c>
      <c r="F156" s="6">
        <f t="shared" si="7"/>
        <v>12131700</v>
      </c>
      <c r="G156" s="7">
        <v>1411300</v>
      </c>
      <c r="H156" s="6">
        <v>13543000</v>
      </c>
      <c r="I156" s="15"/>
    </row>
    <row r="157" spans="1:9" ht="38.25" x14ac:dyDescent="0.25">
      <c r="A157" s="195"/>
      <c r="B157" s="195"/>
      <c r="C157" s="8" t="s">
        <v>31</v>
      </c>
      <c r="D157" s="7">
        <v>167</v>
      </c>
      <c r="E157" s="6">
        <f t="shared" si="8"/>
        <v>99822.754491017971</v>
      </c>
      <c r="F157" s="6">
        <f t="shared" si="7"/>
        <v>16670400</v>
      </c>
      <c r="G157" s="7">
        <v>1216200</v>
      </c>
      <c r="H157" s="6">
        <v>17886600</v>
      </c>
      <c r="I157" s="15"/>
    </row>
    <row r="158" spans="1:9" ht="38.25" x14ac:dyDescent="0.25">
      <c r="A158" s="195"/>
      <c r="B158" s="195"/>
      <c r="C158" s="8" t="s">
        <v>32</v>
      </c>
      <c r="D158" s="1">
        <v>120</v>
      </c>
      <c r="E158" s="6">
        <f t="shared" si="8"/>
        <v>130582.5</v>
      </c>
      <c r="F158" s="6">
        <f t="shared" si="7"/>
        <v>15669900</v>
      </c>
      <c r="G158" s="7">
        <v>1149300</v>
      </c>
      <c r="H158" s="6">
        <v>16819200</v>
      </c>
      <c r="I158" s="15"/>
    </row>
    <row r="159" spans="1:9" ht="38.25" x14ac:dyDescent="0.25">
      <c r="A159" s="195"/>
      <c r="B159" s="195"/>
      <c r="C159" s="8" t="s">
        <v>25</v>
      </c>
      <c r="D159" s="7">
        <v>216</v>
      </c>
      <c r="E159" s="6">
        <f t="shared" si="8"/>
        <v>79923.611111111109</v>
      </c>
      <c r="F159" s="6">
        <f t="shared" si="7"/>
        <v>17263500</v>
      </c>
      <c r="G159" s="7">
        <v>1282900</v>
      </c>
      <c r="H159" s="6">
        <v>18546400</v>
      </c>
      <c r="I159" s="15"/>
    </row>
    <row r="160" spans="1:9" ht="38.25" x14ac:dyDescent="0.25">
      <c r="A160" s="195"/>
      <c r="B160" s="195"/>
      <c r="C160" s="8" t="s">
        <v>22</v>
      </c>
      <c r="D160" s="7">
        <v>280</v>
      </c>
      <c r="E160" s="6">
        <f t="shared" si="8"/>
        <v>82278.21428571429</v>
      </c>
      <c r="F160" s="6">
        <f t="shared" si="7"/>
        <v>23037900</v>
      </c>
      <c r="G160" s="7">
        <v>1459300.0000000002</v>
      </c>
      <c r="H160" s="6">
        <v>24497200</v>
      </c>
      <c r="I160" s="15"/>
    </row>
    <row r="161" spans="1:9" ht="38.25" x14ac:dyDescent="0.25">
      <c r="A161" s="195"/>
      <c r="B161" s="195"/>
      <c r="C161" s="8" t="s">
        <v>37</v>
      </c>
      <c r="D161" s="1">
        <v>300</v>
      </c>
      <c r="E161" s="6">
        <f t="shared" si="8"/>
        <v>89254.666666666672</v>
      </c>
      <c r="F161" s="6">
        <f t="shared" si="7"/>
        <v>26776400</v>
      </c>
      <c r="G161" s="7">
        <v>1520000</v>
      </c>
      <c r="H161" s="6">
        <v>28296400</v>
      </c>
      <c r="I161" s="15"/>
    </row>
    <row r="162" spans="1:9" ht="38.25" x14ac:dyDescent="0.25">
      <c r="A162" s="195"/>
      <c r="B162" s="195"/>
      <c r="C162" s="8" t="s">
        <v>40</v>
      </c>
      <c r="D162" s="1">
        <v>650</v>
      </c>
      <c r="E162" s="6">
        <f t="shared" si="8"/>
        <v>77477.692307692312</v>
      </c>
      <c r="F162" s="6">
        <f t="shared" ref="F162:F187" si="9">H162-G162</f>
        <v>50360500</v>
      </c>
      <c r="G162" s="7">
        <v>1612300</v>
      </c>
      <c r="H162" s="6">
        <v>51972800</v>
      </c>
      <c r="I162" s="15"/>
    </row>
    <row r="163" spans="1:9" ht="38.25" x14ac:dyDescent="0.25">
      <c r="A163" s="195"/>
      <c r="B163" s="195"/>
      <c r="C163" s="8" t="s">
        <v>135</v>
      </c>
      <c r="D163" s="1">
        <v>92</v>
      </c>
      <c r="E163" s="6">
        <f t="shared" si="8"/>
        <v>121719.56521739131</v>
      </c>
      <c r="F163" s="6">
        <f t="shared" si="9"/>
        <v>11198200</v>
      </c>
      <c r="G163" s="7">
        <v>773399.99999999988</v>
      </c>
      <c r="H163" s="6">
        <v>11971600</v>
      </c>
      <c r="I163" s="15"/>
    </row>
    <row r="164" spans="1:9" ht="38.25" x14ac:dyDescent="0.25">
      <c r="A164" s="195"/>
      <c r="B164" s="195"/>
      <c r="C164" s="8" t="s">
        <v>34</v>
      </c>
      <c r="D164" s="1">
        <v>763</v>
      </c>
      <c r="E164" s="6">
        <f t="shared" si="8"/>
        <v>68007.20838794233</v>
      </c>
      <c r="F164" s="6">
        <f t="shared" si="9"/>
        <v>51889500</v>
      </c>
      <c r="G164" s="7">
        <v>1053199.9999999998</v>
      </c>
      <c r="H164" s="6">
        <v>52942700</v>
      </c>
      <c r="I164" s="15"/>
    </row>
    <row r="165" spans="1:9" ht="38.25" x14ac:dyDescent="0.25">
      <c r="A165" s="195"/>
      <c r="B165" s="195"/>
      <c r="C165" s="8" t="s">
        <v>29</v>
      </c>
      <c r="D165" s="1">
        <v>402</v>
      </c>
      <c r="E165" s="6">
        <f t="shared" si="8"/>
        <v>85774.129353233831</v>
      </c>
      <c r="F165" s="6">
        <f t="shared" si="9"/>
        <v>34481200</v>
      </c>
      <c r="G165" s="7">
        <v>1539800</v>
      </c>
      <c r="H165" s="6">
        <v>36021000</v>
      </c>
      <c r="I165" s="15"/>
    </row>
    <row r="166" spans="1:9" ht="51" x14ac:dyDescent="0.25">
      <c r="A166" s="195"/>
      <c r="B166" s="195"/>
      <c r="C166" s="8" t="s">
        <v>136</v>
      </c>
      <c r="D166" s="1">
        <v>450</v>
      </c>
      <c r="E166" s="6">
        <f t="shared" si="8"/>
        <v>84307.333333333328</v>
      </c>
      <c r="F166" s="6">
        <f t="shared" si="9"/>
        <v>37938300</v>
      </c>
      <c r="G166" s="7">
        <v>2422600.0000000005</v>
      </c>
      <c r="H166" s="6">
        <v>40360900</v>
      </c>
      <c r="I166" s="15"/>
    </row>
    <row r="167" spans="1:9" ht="38.25" x14ac:dyDescent="0.25">
      <c r="A167" s="195"/>
      <c r="B167" s="195"/>
      <c r="C167" s="8" t="s">
        <v>44</v>
      </c>
      <c r="D167" s="1">
        <v>180</v>
      </c>
      <c r="E167" s="6">
        <f t="shared" si="8"/>
        <v>72693.333333333328</v>
      </c>
      <c r="F167" s="6">
        <f t="shared" si="9"/>
        <v>13084800</v>
      </c>
      <c r="G167" s="7">
        <v>603099.99999999988</v>
      </c>
      <c r="H167" s="6">
        <v>13687900</v>
      </c>
      <c r="I167" s="15"/>
    </row>
    <row r="168" spans="1:9" ht="38.25" x14ac:dyDescent="0.25">
      <c r="A168" s="195"/>
      <c r="B168" s="195"/>
      <c r="C168" s="8" t="s">
        <v>26</v>
      </c>
      <c r="D168" s="7">
        <v>106</v>
      </c>
      <c r="E168" s="6">
        <f t="shared" si="8"/>
        <v>104251.88679245283</v>
      </c>
      <c r="F168" s="6">
        <f t="shared" si="9"/>
        <v>11050700</v>
      </c>
      <c r="G168" s="7">
        <v>400500.00000000006</v>
      </c>
      <c r="H168" s="6">
        <v>11451200</v>
      </c>
      <c r="I168" s="15"/>
    </row>
    <row r="169" spans="1:9" ht="38.25" x14ac:dyDescent="0.25">
      <c r="A169" s="195"/>
      <c r="B169" s="195"/>
      <c r="C169" s="8" t="s">
        <v>30</v>
      </c>
      <c r="D169" s="1">
        <v>101</v>
      </c>
      <c r="E169" s="6">
        <f t="shared" si="8"/>
        <v>140666.33663366336</v>
      </c>
      <c r="F169" s="6">
        <f t="shared" si="9"/>
        <v>14207300</v>
      </c>
      <c r="G169" s="7">
        <v>1801300</v>
      </c>
      <c r="H169" s="6">
        <v>16008600</v>
      </c>
      <c r="I169" s="15"/>
    </row>
    <row r="170" spans="1:9" ht="38.25" x14ac:dyDescent="0.25">
      <c r="A170" s="195"/>
      <c r="B170" s="195"/>
      <c r="C170" s="8" t="s">
        <v>137</v>
      </c>
      <c r="D170" s="7">
        <v>1233</v>
      </c>
      <c r="E170" s="6">
        <f t="shared" si="8"/>
        <v>63677.291159772911</v>
      </c>
      <c r="F170" s="6">
        <f t="shared" si="9"/>
        <v>78514100</v>
      </c>
      <c r="G170" s="7">
        <v>10018100</v>
      </c>
      <c r="H170" s="6">
        <v>88532200</v>
      </c>
      <c r="I170" s="15"/>
    </row>
    <row r="171" spans="1:9" ht="38.25" x14ac:dyDescent="0.25">
      <c r="A171" s="195"/>
      <c r="B171" s="195"/>
      <c r="C171" s="8" t="s">
        <v>33</v>
      </c>
      <c r="D171" s="1">
        <v>233</v>
      </c>
      <c r="E171" s="6">
        <f t="shared" si="8"/>
        <v>75009.012875536486</v>
      </c>
      <c r="F171" s="6">
        <f t="shared" si="9"/>
        <v>17477100</v>
      </c>
      <c r="G171" s="7">
        <v>841900</v>
      </c>
      <c r="H171" s="6">
        <v>18319000</v>
      </c>
      <c r="I171" s="15"/>
    </row>
    <row r="172" spans="1:9" ht="38.25" x14ac:dyDescent="0.25">
      <c r="A172" s="195"/>
      <c r="B172" s="195"/>
      <c r="C172" s="8" t="s">
        <v>20</v>
      </c>
      <c r="D172" s="1">
        <v>132</v>
      </c>
      <c r="E172" s="6">
        <f t="shared" si="8"/>
        <v>98418.181818181823</v>
      </c>
      <c r="F172" s="6">
        <f t="shared" si="9"/>
        <v>12991200</v>
      </c>
      <c r="G172" s="7">
        <v>776599.99999999988</v>
      </c>
      <c r="H172" s="6">
        <v>13767800</v>
      </c>
      <c r="I172" s="15"/>
    </row>
    <row r="173" spans="1:9" ht="38.25" x14ac:dyDescent="0.25">
      <c r="A173" s="196"/>
      <c r="B173" s="196"/>
      <c r="C173" s="8" t="s">
        <v>27</v>
      </c>
      <c r="D173" s="1">
        <v>73</v>
      </c>
      <c r="E173" s="6">
        <f t="shared" si="8"/>
        <v>141919.17808219179</v>
      </c>
      <c r="F173" s="6">
        <f t="shared" si="9"/>
        <v>10360100</v>
      </c>
      <c r="G173" s="7">
        <v>599800</v>
      </c>
      <c r="H173" s="6">
        <v>10959900</v>
      </c>
      <c r="I173" s="15"/>
    </row>
    <row r="174" spans="1:9" ht="162.75" customHeight="1" x14ac:dyDescent="0.25">
      <c r="A174" s="2">
        <v>4</v>
      </c>
      <c r="B174" s="2" t="s">
        <v>51</v>
      </c>
      <c r="C174" s="8" t="s">
        <v>138</v>
      </c>
      <c r="D174" s="1">
        <v>268</v>
      </c>
      <c r="E174" s="6">
        <f t="shared" si="8"/>
        <v>144527.61194029852</v>
      </c>
      <c r="F174" s="6">
        <f t="shared" si="9"/>
        <v>38733400</v>
      </c>
      <c r="G174" s="7">
        <v>2176700</v>
      </c>
      <c r="H174" s="6">
        <v>40910100</v>
      </c>
      <c r="I174" s="15"/>
    </row>
    <row r="175" spans="1:9" ht="61.5" customHeight="1" x14ac:dyDescent="0.25">
      <c r="A175" s="2">
        <v>5</v>
      </c>
      <c r="B175" s="2" t="s">
        <v>52</v>
      </c>
      <c r="C175" s="8" t="s">
        <v>53</v>
      </c>
      <c r="D175" s="1">
        <v>133</v>
      </c>
      <c r="E175" s="6">
        <f t="shared" si="8"/>
        <v>50324.812030075191</v>
      </c>
      <c r="F175" s="6">
        <f t="shared" si="9"/>
        <v>6693200</v>
      </c>
      <c r="G175" s="7">
        <v>1033500</v>
      </c>
      <c r="H175" s="6">
        <v>7726700</v>
      </c>
      <c r="I175" s="15"/>
    </row>
    <row r="176" spans="1:9" ht="102" x14ac:dyDescent="0.25">
      <c r="A176" s="193">
        <v>6</v>
      </c>
      <c r="B176" s="193" t="s">
        <v>54</v>
      </c>
      <c r="C176" s="8" t="s">
        <v>55</v>
      </c>
      <c r="D176" s="1">
        <v>217</v>
      </c>
      <c r="E176" s="6">
        <f t="shared" ref="E176:E185" si="10">F176/D176</f>
        <v>267897.69585253455</v>
      </c>
      <c r="F176" s="6">
        <f t="shared" si="9"/>
        <v>58133800</v>
      </c>
      <c r="G176" s="7">
        <v>1891300</v>
      </c>
      <c r="H176" s="6">
        <v>60025100</v>
      </c>
      <c r="I176" s="15"/>
    </row>
    <row r="177" spans="1:9" ht="102" x14ac:dyDescent="0.25">
      <c r="A177" s="193"/>
      <c r="B177" s="193"/>
      <c r="C177" s="8" t="s">
        <v>56</v>
      </c>
      <c r="D177" s="1">
        <v>83</v>
      </c>
      <c r="E177" s="6">
        <f t="shared" si="10"/>
        <v>751919.27710843377</v>
      </c>
      <c r="F177" s="6">
        <f t="shared" si="9"/>
        <v>62409300</v>
      </c>
      <c r="G177" s="7">
        <v>2397900</v>
      </c>
      <c r="H177" s="6">
        <v>64807200</v>
      </c>
      <c r="I177" s="15"/>
    </row>
    <row r="178" spans="1:9" ht="51" x14ac:dyDescent="0.25">
      <c r="A178" s="193">
        <v>7</v>
      </c>
      <c r="B178" s="193" t="s">
        <v>57</v>
      </c>
      <c r="C178" s="8" t="s">
        <v>58</v>
      </c>
      <c r="D178" s="7">
        <v>2686</v>
      </c>
      <c r="E178" s="6">
        <f t="shared" si="10"/>
        <v>5804.0580789277737</v>
      </c>
      <c r="F178" s="6">
        <f t="shared" si="9"/>
        <v>15589700</v>
      </c>
      <c r="G178" s="7">
        <v>508200</v>
      </c>
      <c r="H178" s="6">
        <v>16097900</v>
      </c>
      <c r="I178" s="15"/>
    </row>
    <row r="179" spans="1:9" ht="51" x14ac:dyDescent="0.25">
      <c r="A179" s="193"/>
      <c r="B179" s="193"/>
      <c r="C179" s="8" t="s">
        <v>59</v>
      </c>
      <c r="D179" s="7">
        <v>1444</v>
      </c>
      <c r="E179" s="6">
        <f t="shared" si="10"/>
        <v>12898.961218836565</v>
      </c>
      <c r="F179" s="6">
        <f t="shared" si="9"/>
        <v>18626100</v>
      </c>
      <c r="G179" s="7">
        <v>1194800</v>
      </c>
      <c r="H179" s="6">
        <v>19820900</v>
      </c>
      <c r="I179" s="15"/>
    </row>
    <row r="180" spans="1:9" ht="51" x14ac:dyDescent="0.25">
      <c r="A180" s="193"/>
      <c r="B180" s="193"/>
      <c r="C180" s="8" t="s">
        <v>60</v>
      </c>
      <c r="D180" s="7">
        <v>1100</v>
      </c>
      <c r="E180" s="6">
        <f t="shared" si="10"/>
        <v>17148.81818181818</v>
      </c>
      <c r="F180" s="6">
        <f t="shared" si="9"/>
        <v>18863700</v>
      </c>
      <c r="G180" s="7">
        <v>1348300</v>
      </c>
      <c r="H180" s="6">
        <v>20212000</v>
      </c>
      <c r="I180" s="15"/>
    </row>
    <row r="181" spans="1:9" ht="51" x14ac:dyDescent="0.25">
      <c r="A181" s="193"/>
      <c r="B181" s="193"/>
      <c r="C181" s="8" t="s">
        <v>61</v>
      </c>
      <c r="D181" s="1">
        <v>572</v>
      </c>
      <c r="E181" s="6">
        <f t="shared" si="10"/>
        <v>38778.671328671328</v>
      </c>
      <c r="F181" s="6">
        <f t="shared" si="9"/>
        <v>22181400</v>
      </c>
      <c r="G181" s="7">
        <v>2376700</v>
      </c>
      <c r="H181" s="6">
        <v>24558100</v>
      </c>
      <c r="I181" s="15"/>
    </row>
    <row r="182" spans="1:9" ht="51" x14ac:dyDescent="0.25">
      <c r="A182" s="193"/>
      <c r="B182" s="193"/>
      <c r="C182" s="8" t="s">
        <v>62</v>
      </c>
      <c r="D182" s="1">
        <v>485</v>
      </c>
      <c r="E182" s="6">
        <f t="shared" si="10"/>
        <v>28241.443298969072</v>
      </c>
      <c r="F182" s="6">
        <f t="shared" si="9"/>
        <v>13697100</v>
      </c>
      <c r="G182" s="7">
        <v>1929200</v>
      </c>
      <c r="H182" s="6">
        <v>15626300</v>
      </c>
      <c r="I182" s="15"/>
    </row>
    <row r="183" spans="1:9" ht="51" x14ac:dyDescent="0.25">
      <c r="A183" s="193"/>
      <c r="B183" s="193"/>
      <c r="C183" s="8" t="s">
        <v>63</v>
      </c>
      <c r="D183" s="7">
        <v>2580</v>
      </c>
      <c r="E183" s="6">
        <f t="shared" si="10"/>
        <v>9226.1240310077519</v>
      </c>
      <c r="F183" s="6">
        <f t="shared" si="9"/>
        <v>23803400</v>
      </c>
      <c r="G183" s="7">
        <v>448000</v>
      </c>
      <c r="H183" s="6">
        <v>24251400</v>
      </c>
      <c r="I183" s="15"/>
    </row>
    <row r="184" spans="1:9" ht="38.25" x14ac:dyDescent="0.25">
      <c r="A184" s="193"/>
      <c r="B184" s="193"/>
      <c r="C184" s="8" t="s">
        <v>64</v>
      </c>
      <c r="D184" s="1">
        <v>367</v>
      </c>
      <c r="E184" s="6">
        <f t="shared" si="10"/>
        <v>37616.076294277926</v>
      </c>
      <c r="F184" s="6">
        <f t="shared" si="9"/>
        <v>13805100</v>
      </c>
      <c r="G184" s="7">
        <v>430500</v>
      </c>
      <c r="H184" s="6">
        <v>14235600</v>
      </c>
      <c r="I184" s="15"/>
    </row>
    <row r="185" spans="1:9" ht="38.25" x14ac:dyDescent="0.25">
      <c r="A185" s="193"/>
      <c r="B185" s="193"/>
      <c r="C185" s="8" t="s">
        <v>65</v>
      </c>
      <c r="D185" s="7">
        <v>1731</v>
      </c>
      <c r="E185" s="6">
        <f t="shared" si="10"/>
        <v>9295.7827845176198</v>
      </c>
      <c r="F185" s="6">
        <f t="shared" si="9"/>
        <v>16091000</v>
      </c>
      <c r="G185" s="7">
        <v>363800</v>
      </c>
      <c r="H185" s="6">
        <v>16454800</v>
      </c>
      <c r="I185" s="15"/>
    </row>
    <row r="186" spans="1:9" ht="89.25" x14ac:dyDescent="0.25">
      <c r="A186" s="2">
        <v>8</v>
      </c>
      <c r="B186" s="2" t="s">
        <v>66</v>
      </c>
      <c r="C186" s="8" t="s">
        <v>67</v>
      </c>
      <c r="D186" s="1"/>
      <c r="E186" s="6"/>
      <c r="F186" s="6">
        <f t="shared" si="9"/>
        <v>25248000</v>
      </c>
      <c r="G186" s="7">
        <v>1111500</v>
      </c>
      <c r="H186" s="6">
        <v>26359500</v>
      </c>
      <c r="I186" s="15"/>
    </row>
    <row r="187" spans="1:9" ht="63.75" x14ac:dyDescent="0.25">
      <c r="A187" s="2">
        <v>9</v>
      </c>
      <c r="B187" s="2" t="s">
        <v>68</v>
      </c>
      <c r="C187" s="8" t="s">
        <v>69</v>
      </c>
      <c r="D187" s="1"/>
      <c r="E187" s="6"/>
      <c r="F187" s="6">
        <f t="shared" si="9"/>
        <v>13498200</v>
      </c>
      <c r="G187" s="7">
        <v>173500</v>
      </c>
      <c r="H187" s="6">
        <v>13671700</v>
      </c>
      <c r="I187" s="15"/>
    </row>
    <row r="188" spans="1:9" x14ac:dyDescent="0.25">
      <c r="A188" s="2"/>
      <c r="B188" s="10" t="s">
        <v>70</v>
      </c>
      <c r="C188" s="10"/>
      <c r="D188" s="10"/>
      <c r="E188" s="10"/>
      <c r="F188" s="11">
        <f>SUM(F2:F187)</f>
        <v>2920585900</v>
      </c>
      <c r="G188" s="11">
        <f>SUM(G2:G187)</f>
        <v>175913000</v>
      </c>
      <c r="H188" s="11">
        <f>SUM(H2:H187)</f>
        <v>3096498900</v>
      </c>
      <c r="I188" s="16"/>
    </row>
    <row r="189" spans="1:9" x14ac:dyDescent="0.25">
      <c r="F189" s="3"/>
    </row>
  </sheetData>
  <mergeCells count="10">
    <mergeCell ref="A176:A177"/>
    <mergeCell ref="B176:B177"/>
    <mergeCell ref="A178:A185"/>
    <mergeCell ref="B178:B185"/>
    <mergeCell ref="A130:A173"/>
    <mergeCell ref="A2:A65"/>
    <mergeCell ref="B2:B65"/>
    <mergeCell ref="A66:A129"/>
    <mergeCell ref="B66:B129"/>
    <mergeCell ref="B130:B173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29"/>
  <sheetViews>
    <sheetView tabSelected="1" view="pageBreakPreview" zoomScale="89" zoomScaleSheetLayoutView="89" workbookViewId="0">
      <pane xSplit="4" topLeftCell="E1" activePane="topRight" state="frozen"/>
      <selection pane="topRight" activeCell="R1" sqref="R1:T1"/>
    </sheetView>
  </sheetViews>
  <sheetFormatPr defaultRowHeight="15" x14ac:dyDescent="0.25"/>
  <cols>
    <col min="1" max="1" width="3.5703125" style="4" customWidth="1"/>
    <col min="2" max="2" width="10.85546875" style="4" customWidth="1"/>
    <col min="3" max="3" width="4.42578125" style="4" customWidth="1"/>
    <col min="4" max="4" width="15.28515625" style="4" customWidth="1"/>
    <col min="5" max="5" width="11.42578125" style="4" customWidth="1"/>
    <col min="6" max="6" width="11.7109375" style="4" customWidth="1"/>
    <col min="7" max="7" width="11.42578125" style="4" customWidth="1"/>
    <col min="8" max="8" width="13.28515625" style="4" customWidth="1"/>
    <col min="9" max="9" width="15.85546875" style="4" customWidth="1"/>
    <col min="10" max="10" width="16.7109375" style="4" customWidth="1"/>
    <col min="11" max="11" width="15.5703125" style="4" customWidth="1"/>
    <col min="12" max="12" width="15.7109375" style="168" customWidth="1"/>
    <col min="13" max="13" width="13.28515625" style="168" hidden="1" customWidth="1"/>
    <col min="14" max="14" width="15.85546875" style="168" customWidth="1"/>
    <col min="15" max="15" width="15.28515625" style="168" customWidth="1"/>
    <col min="16" max="16" width="15.7109375" style="4" customWidth="1"/>
    <col min="17" max="17" width="10.7109375" style="4" hidden="1" customWidth="1"/>
    <col min="18" max="18" width="17.5703125" style="3" customWidth="1"/>
    <col min="19" max="19" width="12.5703125" style="3" hidden="1" customWidth="1"/>
    <col min="20" max="20" width="15.7109375" style="3" customWidth="1"/>
    <col min="21" max="22" width="9.140625" style="4" hidden="1" customWidth="1"/>
    <col min="23" max="25" width="20.85546875" style="4" hidden="1" customWidth="1"/>
    <col min="26" max="27" width="19.28515625" style="4" hidden="1" customWidth="1"/>
    <col min="28" max="28" width="16" style="4" hidden="1" customWidth="1"/>
    <col min="29" max="29" width="15.28515625" style="4" hidden="1" customWidth="1"/>
    <col min="30" max="32" width="18.140625" style="4" hidden="1" customWidth="1"/>
    <col min="33" max="35" width="18.85546875" style="4" hidden="1" customWidth="1"/>
    <col min="36" max="36" width="19.85546875" style="4" hidden="1" customWidth="1"/>
    <col min="37" max="37" width="18.85546875" style="4" hidden="1" customWidth="1"/>
    <col min="38" max="38" width="18.42578125" style="4" hidden="1" customWidth="1"/>
    <col min="39" max="39" width="21.85546875" style="4" hidden="1" customWidth="1"/>
    <col min="40" max="40" width="14.5703125" style="4" hidden="1" customWidth="1"/>
    <col min="41" max="42" width="21.85546875" style="4" hidden="1" customWidth="1"/>
    <col min="43" max="45" width="9.140625" style="4" hidden="1" customWidth="1"/>
    <col min="46" max="46" width="45.85546875" style="4" hidden="1" customWidth="1"/>
    <col min="47" max="50" width="9.140625" style="4" hidden="1" customWidth="1"/>
    <col min="51" max="51" width="19.7109375" style="4" hidden="1" customWidth="1"/>
    <col min="52" max="52" width="16.7109375" style="3" hidden="1" customWidth="1"/>
    <col min="53" max="53" width="16.28515625" style="191" customWidth="1"/>
    <col min="54" max="16384" width="9.140625" style="4"/>
  </cols>
  <sheetData>
    <row r="1" spans="1:53" ht="99.75" customHeight="1" x14ac:dyDescent="0.25">
      <c r="I1" s="100"/>
      <c r="J1" s="100"/>
      <c r="K1" s="100"/>
      <c r="L1" s="101" t="s">
        <v>209</v>
      </c>
      <c r="M1" s="101"/>
      <c r="N1" s="101"/>
      <c r="O1" s="101"/>
      <c r="P1" s="102"/>
      <c r="Q1" s="102"/>
      <c r="R1" s="217" t="s">
        <v>254</v>
      </c>
      <c r="S1" s="217"/>
      <c r="T1" s="217"/>
    </row>
    <row r="2" spans="1:53" ht="45.75" customHeight="1" x14ac:dyDescent="0.3">
      <c r="A2" s="221" t="s">
        <v>253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W2" s="218" t="s">
        <v>142</v>
      </c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20"/>
    </row>
    <row r="3" spans="1:53" ht="10.5" hidden="1" customHeight="1" x14ac:dyDescent="0.25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W3" s="179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</row>
    <row r="4" spans="1:53" ht="51.75" customHeight="1" x14ac:dyDescent="0.25">
      <c r="A4" s="222" t="s">
        <v>0</v>
      </c>
      <c r="B4" s="222" t="s">
        <v>144</v>
      </c>
      <c r="C4" s="205" t="s">
        <v>2</v>
      </c>
      <c r="D4" s="205"/>
      <c r="E4" s="205" t="s">
        <v>3</v>
      </c>
      <c r="F4" s="205" t="s">
        <v>4</v>
      </c>
      <c r="G4" s="205"/>
      <c r="H4" s="205"/>
      <c r="I4" s="205" t="s">
        <v>5</v>
      </c>
      <c r="J4" s="205"/>
      <c r="K4" s="205"/>
      <c r="L4" s="205" t="s">
        <v>6</v>
      </c>
      <c r="M4" s="205"/>
      <c r="N4" s="205"/>
      <c r="O4" s="205"/>
      <c r="P4" s="205" t="s">
        <v>7</v>
      </c>
      <c r="Q4" s="205"/>
      <c r="R4" s="205"/>
      <c r="S4" s="205"/>
      <c r="T4" s="205"/>
      <c r="U4" s="105"/>
      <c r="V4" s="105"/>
      <c r="W4" s="209" t="s">
        <v>152</v>
      </c>
      <c r="X4" s="210"/>
      <c r="Y4" s="211"/>
      <c r="Z4" s="209" t="s">
        <v>243</v>
      </c>
      <c r="AA4" s="210"/>
      <c r="AB4" s="211"/>
      <c r="AC4" s="106" t="s">
        <v>141</v>
      </c>
      <c r="AD4" s="209" t="s">
        <v>153</v>
      </c>
      <c r="AE4" s="210"/>
      <c r="AF4" s="211"/>
      <c r="AG4" s="209" t="s">
        <v>245</v>
      </c>
      <c r="AH4" s="210"/>
      <c r="AI4" s="211"/>
      <c r="AJ4" s="206" t="s">
        <v>244</v>
      </c>
      <c r="AK4" s="207"/>
      <c r="AL4" s="208"/>
      <c r="AM4" s="199" t="s">
        <v>143</v>
      </c>
      <c r="AN4" s="200"/>
      <c r="AO4" s="200"/>
      <c r="AP4" s="201"/>
    </row>
    <row r="5" spans="1:53" ht="29.25" customHeight="1" x14ac:dyDescent="0.25">
      <c r="A5" s="222"/>
      <c r="B5" s="222"/>
      <c r="C5" s="205"/>
      <c r="D5" s="205"/>
      <c r="E5" s="205"/>
      <c r="F5" s="174">
        <v>2019</v>
      </c>
      <c r="G5" s="174">
        <v>2020</v>
      </c>
      <c r="H5" s="174">
        <v>2021</v>
      </c>
      <c r="I5" s="174">
        <v>2019</v>
      </c>
      <c r="J5" s="174">
        <v>2020</v>
      </c>
      <c r="K5" s="174">
        <v>2021</v>
      </c>
      <c r="L5" s="174">
        <v>2019</v>
      </c>
      <c r="M5" s="174" t="s">
        <v>207</v>
      </c>
      <c r="N5" s="174">
        <v>2020</v>
      </c>
      <c r="O5" s="174">
        <v>2021</v>
      </c>
      <c r="P5" s="107">
        <v>2019</v>
      </c>
      <c r="Q5" s="107" t="s">
        <v>208</v>
      </c>
      <c r="R5" s="108">
        <v>2020</v>
      </c>
      <c r="S5" s="107" t="s">
        <v>208</v>
      </c>
      <c r="T5" s="108">
        <v>2021</v>
      </c>
      <c r="U5" s="105"/>
      <c r="V5" s="105"/>
      <c r="W5" s="174">
        <v>2019</v>
      </c>
      <c r="X5" s="174">
        <v>2020</v>
      </c>
      <c r="Y5" s="174">
        <v>2021</v>
      </c>
      <c r="Z5" s="174">
        <v>2019</v>
      </c>
      <c r="AA5" s="174">
        <v>2020</v>
      </c>
      <c r="AB5" s="174">
        <v>2021</v>
      </c>
      <c r="AC5" s="106"/>
      <c r="AD5" s="109">
        <v>2019</v>
      </c>
      <c r="AE5" s="109">
        <v>2020</v>
      </c>
      <c r="AF5" s="109">
        <v>2021</v>
      </c>
      <c r="AG5" s="174">
        <v>2019</v>
      </c>
      <c r="AH5" s="174">
        <v>2020</v>
      </c>
      <c r="AI5" s="174">
        <v>2021</v>
      </c>
      <c r="AJ5" s="110">
        <v>2019</v>
      </c>
      <c r="AK5" s="111">
        <v>2020</v>
      </c>
      <c r="AL5" s="111">
        <v>2021</v>
      </c>
      <c r="AM5" s="174">
        <v>2019</v>
      </c>
      <c r="AN5" s="174"/>
      <c r="AO5" s="174">
        <v>2020</v>
      </c>
      <c r="AP5" s="174">
        <v>2021</v>
      </c>
    </row>
    <row r="6" spans="1:53" ht="110.1" customHeight="1" x14ac:dyDescent="0.25">
      <c r="A6" s="203" t="s">
        <v>154</v>
      </c>
      <c r="B6" s="204" t="s">
        <v>211</v>
      </c>
      <c r="C6" s="174">
        <v>1</v>
      </c>
      <c r="D6" s="112" t="s">
        <v>71</v>
      </c>
      <c r="E6" s="184">
        <v>145</v>
      </c>
      <c r="F6" s="114">
        <f>I6/E6</f>
        <v>88401.586206896551</v>
      </c>
      <c r="G6" s="114">
        <f>J6/E6</f>
        <v>88401.586206896551</v>
      </c>
      <c r="H6" s="114">
        <f>K6/E6</f>
        <v>88401.586206896551</v>
      </c>
      <c r="I6" s="114">
        <f>P6-L6</f>
        <v>12818230</v>
      </c>
      <c r="J6" s="114">
        <f>R6-N6</f>
        <v>12818230</v>
      </c>
      <c r="K6" s="114">
        <f t="shared" ref="K6:K37" si="0">T6-O6</f>
        <v>12818230</v>
      </c>
      <c r="L6" s="115"/>
      <c r="M6" s="115"/>
      <c r="N6" s="115"/>
      <c r="O6" s="115"/>
      <c r="P6" s="116">
        <f>W6+AG6</f>
        <v>12818230</v>
      </c>
      <c r="Q6" s="116"/>
      <c r="R6" s="117">
        <f>P6</f>
        <v>12818230</v>
      </c>
      <c r="S6" s="117"/>
      <c r="T6" s="117">
        <f>P6</f>
        <v>12818230</v>
      </c>
      <c r="U6" s="105"/>
      <c r="V6" s="105"/>
      <c r="W6" s="118">
        <v>12590950</v>
      </c>
      <c r="X6" s="118">
        <v>12590950</v>
      </c>
      <c r="Y6" s="118">
        <v>12590950</v>
      </c>
      <c r="Z6" s="118"/>
      <c r="AA6" s="118"/>
      <c r="AB6" s="118"/>
      <c r="AC6" s="118"/>
      <c r="AD6" s="118"/>
      <c r="AE6" s="118"/>
      <c r="AF6" s="118"/>
      <c r="AG6" s="119">
        <v>227280</v>
      </c>
      <c r="AH6" s="119">
        <v>227280</v>
      </c>
      <c r="AI6" s="119">
        <v>227280</v>
      </c>
      <c r="AJ6" s="110"/>
      <c r="AK6" s="111"/>
      <c r="AL6" s="111"/>
      <c r="AM6" s="119"/>
      <c r="AN6" s="119"/>
      <c r="AO6" s="119"/>
      <c r="AP6" s="119"/>
      <c r="AY6" s="147">
        <f>P6+P75</f>
        <v>19046059.030000001</v>
      </c>
      <c r="AZ6" s="3">
        <v>19046059.030000001</v>
      </c>
      <c r="BA6" s="190">
        <f>AZ6-AY6</f>
        <v>0</v>
      </c>
    </row>
    <row r="7" spans="1:53" ht="110.1" customHeight="1" x14ac:dyDescent="0.25">
      <c r="A7" s="203"/>
      <c r="B7" s="212"/>
      <c r="C7" s="174">
        <f>C6+1</f>
        <v>2</v>
      </c>
      <c r="D7" s="112" t="s">
        <v>72</v>
      </c>
      <c r="E7" s="184">
        <v>173</v>
      </c>
      <c r="F7" s="114">
        <f t="shared" ref="F7:F37" si="1">I7/E7</f>
        <v>122282.01734104047</v>
      </c>
      <c r="G7" s="114">
        <f t="shared" ref="G7:G70" si="2">J7/E7</f>
        <v>122282.01734104047</v>
      </c>
      <c r="H7" s="114">
        <f>K7/E7</f>
        <v>122282.01734104047</v>
      </c>
      <c r="I7" s="114">
        <f t="shared" ref="I7:I70" si="3">P7-L7</f>
        <v>21154789</v>
      </c>
      <c r="J7" s="114">
        <f>R7-N7</f>
        <v>21154789</v>
      </c>
      <c r="K7" s="114">
        <f t="shared" si="0"/>
        <v>21154789</v>
      </c>
      <c r="L7" s="115"/>
      <c r="M7" s="115"/>
      <c r="N7" s="115"/>
      <c r="O7" s="115"/>
      <c r="P7" s="116">
        <f t="shared" ref="P7:P70" si="4">W7+AG7</f>
        <v>21154789</v>
      </c>
      <c r="Q7" s="116"/>
      <c r="R7" s="117">
        <f t="shared" ref="R7:R70" si="5">P7</f>
        <v>21154789</v>
      </c>
      <c r="S7" s="117"/>
      <c r="T7" s="117">
        <f t="shared" ref="T7:T70" si="6">P7</f>
        <v>21154789</v>
      </c>
      <c r="U7" s="105"/>
      <c r="V7" s="105"/>
      <c r="W7" s="118">
        <v>20883612</v>
      </c>
      <c r="X7" s="118">
        <v>20883612</v>
      </c>
      <c r="Y7" s="118">
        <v>20883612</v>
      </c>
      <c r="Z7" s="118"/>
      <c r="AA7" s="118"/>
      <c r="AB7" s="118"/>
      <c r="AC7" s="118"/>
      <c r="AD7" s="118"/>
      <c r="AE7" s="118"/>
      <c r="AF7" s="118"/>
      <c r="AG7" s="119">
        <v>271177</v>
      </c>
      <c r="AH7" s="119">
        <v>271177</v>
      </c>
      <c r="AI7" s="119">
        <v>271177</v>
      </c>
      <c r="AJ7" s="110"/>
      <c r="AK7" s="111"/>
      <c r="AL7" s="111"/>
      <c r="AM7" s="119"/>
      <c r="AN7" s="119"/>
      <c r="AO7" s="119"/>
      <c r="AP7" s="119"/>
      <c r="AY7" s="147">
        <f t="shared" ref="AY7:AY70" si="7">P7+P76</f>
        <v>31037674.48</v>
      </c>
      <c r="AZ7" s="3">
        <v>31037674.48</v>
      </c>
      <c r="BA7" s="190">
        <f t="shared" ref="BA7:BA70" si="8">AZ7-AY7</f>
        <v>0</v>
      </c>
    </row>
    <row r="8" spans="1:53" ht="110.1" customHeight="1" x14ac:dyDescent="0.25">
      <c r="A8" s="203"/>
      <c r="B8" s="212"/>
      <c r="C8" s="174">
        <f t="shared" ref="C8:C72" si="9">C7+1</f>
        <v>3</v>
      </c>
      <c r="D8" s="120" t="s">
        <v>73</v>
      </c>
      <c r="E8" s="184">
        <v>330</v>
      </c>
      <c r="F8" s="114">
        <f>I8/E8</f>
        <v>85762.257575757569</v>
      </c>
      <c r="G8" s="114">
        <f t="shared" si="2"/>
        <v>85762.257575757569</v>
      </c>
      <c r="H8" s="114">
        <f t="shared" ref="H8:H70" si="10">K8/E8</f>
        <v>85762.257575757569</v>
      </c>
      <c r="I8" s="114">
        <f t="shared" si="3"/>
        <v>28301545</v>
      </c>
      <c r="J8" s="114">
        <f t="shared" ref="J8:J70" si="11">R8-N8</f>
        <v>28301545</v>
      </c>
      <c r="K8" s="114">
        <f t="shared" si="0"/>
        <v>28301545</v>
      </c>
      <c r="L8" s="115"/>
      <c r="M8" s="115"/>
      <c r="N8" s="115"/>
      <c r="O8" s="115"/>
      <c r="P8" s="116">
        <f t="shared" si="4"/>
        <v>28301545</v>
      </c>
      <c r="Q8" s="116"/>
      <c r="R8" s="117">
        <f t="shared" si="5"/>
        <v>28301545</v>
      </c>
      <c r="S8" s="117"/>
      <c r="T8" s="117">
        <f t="shared" si="6"/>
        <v>28301545</v>
      </c>
      <c r="U8" s="105"/>
      <c r="V8" s="105"/>
      <c r="W8" s="118">
        <v>27784270</v>
      </c>
      <c r="X8" s="118">
        <v>27784270</v>
      </c>
      <c r="Y8" s="118">
        <v>27784270</v>
      </c>
      <c r="Z8" s="118"/>
      <c r="AA8" s="118"/>
      <c r="AB8" s="118"/>
      <c r="AC8" s="118"/>
      <c r="AD8" s="118"/>
      <c r="AE8" s="118"/>
      <c r="AF8" s="118"/>
      <c r="AG8" s="119">
        <v>517275</v>
      </c>
      <c r="AH8" s="119">
        <v>517275</v>
      </c>
      <c r="AI8" s="119">
        <v>517275</v>
      </c>
      <c r="AJ8" s="110"/>
      <c r="AK8" s="111"/>
      <c r="AL8" s="111"/>
      <c r="AM8" s="119"/>
      <c r="AN8" s="119"/>
      <c r="AO8" s="119"/>
      <c r="AP8" s="119"/>
      <c r="AY8" s="147">
        <f t="shared" si="7"/>
        <v>39241929.740000002</v>
      </c>
      <c r="AZ8" s="3">
        <v>39241929.740000002</v>
      </c>
      <c r="BA8" s="190">
        <f t="shared" si="8"/>
        <v>0</v>
      </c>
    </row>
    <row r="9" spans="1:53" ht="110.1" customHeight="1" x14ac:dyDescent="0.25">
      <c r="A9" s="203"/>
      <c r="B9" s="212"/>
      <c r="C9" s="174">
        <f t="shared" si="9"/>
        <v>4</v>
      </c>
      <c r="D9" s="121" t="s">
        <v>172</v>
      </c>
      <c r="E9" s="184">
        <v>233</v>
      </c>
      <c r="F9" s="114">
        <f t="shared" si="1"/>
        <v>103277.40772532189</v>
      </c>
      <c r="G9" s="114">
        <f t="shared" si="2"/>
        <v>103277.40772532189</v>
      </c>
      <c r="H9" s="114">
        <f t="shared" si="10"/>
        <v>103277.40772532189</v>
      </c>
      <c r="I9" s="114">
        <f t="shared" si="3"/>
        <v>24063636</v>
      </c>
      <c r="J9" s="114">
        <f t="shared" si="11"/>
        <v>24063636</v>
      </c>
      <c r="K9" s="114">
        <f t="shared" si="0"/>
        <v>24063636</v>
      </c>
      <c r="L9" s="115"/>
      <c r="M9" s="115"/>
      <c r="N9" s="115"/>
      <c r="O9" s="115"/>
      <c r="P9" s="116">
        <f t="shared" si="4"/>
        <v>24063636</v>
      </c>
      <c r="Q9" s="116"/>
      <c r="R9" s="117">
        <f t="shared" si="5"/>
        <v>24063636</v>
      </c>
      <c r="S9" s="117"/>
      <c r="T9" s="117">
        <f t="shared" si="6"/>
        <v>24063636</v>
      </c>
      <c r="U9" s="105"/>
      <c r="V9" s="105"/>
      <c r="W9" s="118">
        <v>23698409</v>
      </c>
      <c r="X9" s="118">
        <v>23698409</v>
      </c>
      <c r="Y9" s="118">
        <v>23698409</v>
      </c>
      <c r="Z9" s="118"/>
      <c r="AA9" s="118"/>
      <c r="AB9" s="118"/>
      <c r="AC9" s="118"/>
      <c r="AD9" s="118"/>
      <c r="AE9" s="118"/>
      <c r="AF9" s="118"/>
      <c r="AG9" s="119">
        <v>365227</v>
      </c>
      <c r="AH9" s="119">
        <v>365227</v>
      </c>
      <c r="AI9" s="119">
        <v>365227</v>
      </c>
      <c r="AJ9" s="110"/>
      <c r="AK9" s="111"/>
      <c r="AL9" s="111"/>
      <c r="AM9" s="119"/>
      <c r="AN9" s="119"/>
      <c r="AO9" s="119"/>
      <c r="AP9" s="119"/>
      <c r="AY9" s="147">
        <f t="shared" si="7"/>
        <v>38152234.82</v>
      </c>
      <c r="AZ9" s="3">
        <v>38152234.82</v>
      </c>
      <c r="BA9" s="190">
        <f t="shared" si="8"/>
        <v>0</v>
      </c>
    </row>
    <row r="10" spans="1:53" ht="110.1" customHeight="1" x14ac:dyDescent="0.25">
      <c r="A10" s="203"/>
      <c r="B10" s="212"/>
      <c r="C10" s="174">
        <f t="shared" si="9"/>
        <v>5</v>
      </c>
      <c r="D10" s="89" t="s">
        <v>213</v>
      </c>
      <c r="E10" s="184">
        <v>130</v>
      </c>
      <c r="F10" s="114">
        <f t="shared" si="1"/>
        <v>80223.269230769234</v>
      </c>
      <c r="G10" s="114">
        <f t="shared" si="2"/>
        <v>80223.269230769234</v>
      </c>
      <c r="H10" s="114">
        <f t="shared" si="10"/>
        <v>80223.269230769234</v>
      </c>
      <c r="I10" s="114">
        <f t="shared" si="3"/>
        <v>10429025</v>
      </c>
      <c r="J10" s="114">
        <f t="shared" si="11"/>
        <v>10429025</v>
      </c>
      <c r="K10" s="114">
        <f t="shared" si="0"/>
        <v>10429025</v>
      </c>
      <c r="L10" s="115"/>
      <c r="M10" s="115"/>
      <c r="N10" s="115"/>
      <c r="O10" s="115"/>
      <c r="P10" s="116">
        <f t="shared" si="4"/>
        <v>10429025</v>
      </c>
      <c r="Q10" s="116"/>
      <c r="R10" s="117">
        <f t="shared" si="5"/>
        <v>10429025</v>
      </c>
      <c r="S10" s="117"/>
      <c r="T10" s="117">
        <f t="shared" si="6"/>
        <v>10429025</v>
      </c>
      <c r="U10" s="105"/>
      <c r="V10" s="105"/>
      <c r="W10" s="118">
        <v>10225245</v>
      </c>
      <c r="X10" s="118">
        <v>10225245</v>
      </c>
      <c r="Y10" s="118">
        <v>10225245</v>
      </c>
      <c r="Z10" s="118"/>
      <c r="AA10" s="118"/>
      <c r="AB10" s="118"/>
      <c r="AC10" s="118"/>
      <c r="AD10" s="118"/>
      <c r="AE10" s="118"/>
      <c r="AF10" s="118"/>
      <c r="AG10" s="119">
        <v>203780</v>
      </c>
      <c r="AH10" s="119">
        <v>203780</v>
      </c>
      <c r="AI10" s="119">
        <v>203780</v>
      </c>
      <c r="AJ10" s="110"/>
      <c r="AK10" s="111"/>
      <c r="AL10" s="111"/>
      <c r="AM10" s="119"/>
      <c r="AN10" s="119"/>
      <c r="AO10" s="119"/>
      <c r="AP10" s="119"/>
      <c r="AY10" s="147">
        <f t="shared" si="7"/>
        <v>16016086.09</v>
      </c>
      <c r="AZ10" s="3">
        <v>16016086.09</v>
      </c>
      <c r="BA10" s="190">
        <f t="shared" si="8"/>
        <v>0</v>
      </c>
    </row>
    <row r="11" spans="1:53" ht="110.1" customHeight="1" x14ac:dyDescent="0.25">
      <c r="A11" s="203"/>
      <c r="B11" s="212"/>
      <c r="C11" s="174">
        <f t="shared" si="9"/>
        <v>6</v>
      </c>
      <c r="D11" s="89" t="s">
        <v>173</v>
      </c>
      <c r="E11" s="184">
        <v>270</v>
      </c>
      <c r="F11" s="114">
        <f t="shared" si="1"/>
        <v>97264.896296296298</v>
      </c>
      <c r="G11" s="114">
        <f t="shared" si="2"/>
        <v>97264.896296296298</v>
      </c>
      <c r="H11" s="114">
        <f t="shared" si="10"/>
        <v>97264.896296296298</v>
      </c>
      <c r="I11" s="114">
        <f t="shared" si="3"/>
        <v>26261522</v>
      </c>
      <c r="J11" s="114">
        <f t="shared" si="11"/>
        <v>26261522</v>
      </c>
      <c r="K11" s="114">
        <f t="shared" si="0"/>
        <v>26261522</v>
      </c>
      <c r="L11" s="115"/>
      <c r="M11" s="115"/>
      <c r="N11" s="115"/>
      <c r="O11" s="115"/>
      <c r="P11" s="116">
        <f t="shared" si="4"/>
        <v>26261522</v>
      </c>
      <c r="Q11" s="116"/>
      <c r="R11" s="117">
        <f t="shared" si="5"/>
        <v>26261522</v>
      </c>
      <c r="S11" s="117"/>
      <c r="T11" s="117">
        <f t="shared" si="6"/>
        <v>26261522</v>
      </c>
      <c r="U11" s="105"/>
      <c r="V11" s="105"/>
      <c r="W11" s="118">
        <v>25838302</v>
      </c>
      <c r="X11" s="118">
        <v>25838302</v>
      </c>
      <c r="Y11" s="118">
        <v>25838302</v>
      </c>
      <c r="Z11" s="118"/>
      <c r="AA11" s="118"/>
      <c r="AB11" s="118"/>
      <c r="AC11" s="118"/>
      <c r="AD11" s="118"/>
      <c r="AE11" s="118"/>
      <c r="AF11" s="118"/>
      <c r="AG11" s="119">
        <v>423220</v>
      </c>
      <c r="AH11" s="119">
        <v>423220</v>
      </c>
      <c r="AI11" s="119">
        <v>423220</v>
      </c>
      <c r="AJ11" s="110"/>
      <c r="AK11" s="111"/>
      <c r="AL11" s="111"/>
      <c r="AM11" s="119"/>
      <c r="AN11" s="119"/>
      <c r="AO11" s="119"/>
      <c r="AP11" s="119"/>
      <c r="AY11" s="147">
        <f t="shared" si="7"/>
        <v>38321435.799999997</v>
      </c>
      <c r="AZ11" s="3">
        <v>38321435.799999997</v>
      </c>
      <c r="BA11" s="190">
        <f t="shared" si="8"/>
        <v>0</v>
      </c>
    </row>
    <row r="12" spans="1:53" ht="110.1" customHeight="1" x14ac:dyDescent="0.25">
      <c r="A12" s="203"/>
      <c r="B12" s="212"/>
      <c r="C12" s="174">
        <f t="shared" si="9"/>
        <v>7</v>
      </c>
      <c r="D12" s="89" t="s">
        <v>74</v>
      </c>
      <c r="E12" s="184">
        <v>65</v>
      </c>
      <c r="F12" s="114">
        <f t="shared" si="1"/>
        <v>276174.2</v>
      </c>
      <c r="G12" s="114">
        <f t="shared" si="2"/>
        <v>276174.2</v>
      </c>
      <c r="H12" s="114">
        <f t="shared" si="10"/>
        <v>276174.2</v>
      </c>
      <c r="I12" s="114">
        <f t="shared" si="3"/>
        <v>17951323</v>
      </c>
      <c r="J12" s="114">
        <f t="shared" si="11"/>
        <v>17951323</v>
      </c>
      <c r="K12" s="114">
        <f t="shared" si="0"/>
        <v>17951323</v>
      </c>
      <c r="L12" s="115"/>
      <c r="M12" s="115"/>
      <c r="N12" s="115"/>
      <c r="O12" s="115"/>
      <c r="P12" s="116">
        <f t="shared" si="4"/>
        <v>17951323</v>
      </c>
      <c r="Q12" s="116"/>
      <c r="R12" s="117">
        <f t="shared" si="5"/>
        <v>17951323</v>
      </c>
      <c r="S12" s="117"/>
      <c r="T12" s="117">
        <f t="shared" si="6"/>
        <v>17951323</v>
      </c>
      <c r="U12" s="105"/>
      <c r="V12" s="105"/>
      <c r="W12" s="118">
        <v>17842188</v>
      </c>
      <c r="X12" s="118">
        <v>17842188</v>
      </c>
      <c r="Y12" s="118">
        <v>17842188</v>
      </c>
      <c r="Z12" s="118"/>
      <c r="AA12" s="118"/>
      <c r="AB12" s="118"/>
      <c r="AC12" s="118"/>
      <c r="AD12" s="118"/>
      <c r="AE12" s="118"/>
      <c r="AF12" s="118"/>
      <c r="AG12" s="119">
        <v>109135</v>
      </c>
      <c r="AH12" s="119">
        <v>109135</v>
      </c>
      <c r="AI12" s="119">
        <v>109135</v>
      </c>
      <c r="AJ12" s="110"/>
      <c r="AK12" s="111"/>
      <c r="AL12" s="111"/>
      <c r="AM12" s="119"/>
      <c r="AN12" s="119"/>
      <c r="AO12" s="119"/>
      <c r="AP12" s="119"/>
      <c r="AY12" s="147">
        <f t="shared" si="7"/>
        <v>24024297.699999999</v>
      </c>
      <c r="AZ12" s="3">
        <v>24024297.699999999</v>
      </c>
      <c r="BA12" s="190">
        <f t="shared" si="8"/>
        <v>0</v>
      </c>
    </row>
    <row r="13" spans="1:53" ht="110.1" customHeight="1" x14ac:dyDescent="0.25">
      <c r="A13" s="203"/>
      <c r="B13" s="212"/>
      <c r="C13" s="174">
        <f t="shared" si="9"/>
        <v>8</v>
      </c>
      <c r="D13" s="89" t="s">
        <v>75</v>
      </c>
      <c r="E13" s="184">
        <v>170</v>
      </c>
      <c r="F13" s="114">
        <f t="shared" si="1"/>
        <v>125057.58235294117</v>
      </c>
      <c r="G13" s="114">
        <f t="shared" si="2"/>
        <v>125057.58235294117</v>
      </c>
      <c r="H13" s="114">
        <f t="shared" si="10"/>
        <v>125057.58235294117</v>
      </c>
      <c r="I13" s="114">
        <f t="shared" si="3"/>
        <v>21259789</v>
      </c>
      <c r="J13" s="114">
        <f t="shared" si="11"/>
        <v>21259789</v>
      </c>
      <c r="K13" s="114">
        <f t="shared" si="0"/>
        <v>21259789</v>
      </c>
      <c r="L13" s="115"/>
      <c r="M13" s="115"/>
      <c r="N13" s="115"/>
      <c r="O13" s="115"/>
      <c r="P13" s="116">
        <f t="shared" si="4"/>
        <v>21259789</v>
      </c>
      <c r="Q13" s="116"/>
      <c r="R13" s="117">
        <f t="shared" si="5"/>
        <v>21259789</v>
      </c>
      <c r="S13" s="117"/>
      <c r="T13" s="117">
        <f t="shared" si="6"/>
        <v>21259789</v>
      </c>
      <c r="U13" s="105"/>
      <c r="V13" s="105"/>
      <c r="W13" s="118">
        <v>20993314</v>
      </c>
      <c r="X13" s="118">
        <v>20993314</v>
      </c>
      <c r="Y13" s="118">
        <v>20993314</v>
      </c>
      <c r="Z13" s="118"/>
      <c r="AA13" s="118"/>
      <c r="AB13" s="118"/>
      <c r="AC13" s="118"/>
      <c r="AD13" s="118"/>
      <c r="AE13" s="118"/>
      <c r="AF13" s="118"/>
      <c r="AG13" s="119">
        <v>266475</v>
      </c>
      <c r="AH13" s="119">
        <v>266475</v>
      </c>
      <c r="AI13" s="119">
        <v>266475</v>
      </c>
      <c r="AJ13" s="110"/>
      <c r="AK13" s="111"/>
      <c r="AL13" s="111"/>
      <c r="AM13" s="119"/>
      <c r="AN13" s="119"/>
      <c r="AO13" s="119"/>
      <c r="AP13" s="119"/>
      <c r="AY13" s="147">
        <f t="shared" si="7"/>
        <v>27910717.609999999</v>
      </c>
      <c r="AZ13" s="3">
        <v>27910717.609999999</v>
      </c>
      <c r="BA13" s="190">
        <f t="shared" si="8"/>
        <v>0</v>
      </c>
    </row>
    <row r="14" spans="1:53" ht="110.1" customHeight="1" x14ac:dyDescent="0.25">
      <c r="A14" s="203"/>
      <c r="B14" s="212"/>
      <c r="C14" s="174">
        <f t="shared" si="9"/>
        <v>9</v>
      </c>
      <c r="D14" s="89" t="s">
        <v>76</v>
      </c>
      <c r="E14" s="184">
        <v>168</v>
      </c>
      <c r="F14" s="114">
        <f t="shared" si="1"/>
        <v>107437.41071428571</v>
      </c>
      <c r="G14" s="114">
        <f t="shared" si="2"/>
        <v>107437.41071428571</v>
      </c>
      <c r="H14" s="114">
        <f t="shared" si="10"/>
        <v>107437.41071428571</v>
      </c>
      <c r="I14" s="114">
        <f t="shared" si="3"/>
        <v>18049485</v>
      </c>
      <c r="J14" s="114">
        <f t="shared" si="11"/>
        <v>18049485</v>
      </c>
      <c r="K14" s="114">
        <f t="shared" si="0"/>
        <v>18049485</v>
      </c>
      <c r="L14" s="115"/>
      <c r="M14" s="115"/>
      <c r="N14" s="115"/>
      <c r="O14" s="115"/>
      <c r="P14" s="116">
        <f t="shared" si="4"/>
        <v>18049485</v>
      </c>
      <c r="Q14" s="116"/>
      <c r="R14" s="117">
        <f t="shared" si="5"/>
        <v>18049485</v>
      </c>
      <c r="S14" s="117"/>
      <c r="T14" s="117">
        <f t="shared" si="6"/>
        <v>18049485</v>
      </c>
      <c r="U14" s="105"/>
      <c r="V14" s="105"/>
      <c r="W14" s="118">
        <v>17786145</v>
      </c>
      <c r="X14" s="118">
        <v>17786145</v>
      </c>
      <c r="Y14" s="118">
        <v>17786145</v>
      </c>
      <c r="Z14" s="118"/>
      <c r="AA14" s="118"/>
      <c r="AB14" s="118"/>
      <c r="AC14" s="118"/>
      <c r="AD14" s="118"/>
      <c r="AE14" s="118"/>
      <c r="AF14" s="118"/>
      <c r="AG14" s="119">
        <v>263340</v>
      </c>
      <c r="AH14" s="119">
        <v>263340</v>
      </c>
      <c r="AI14" s="119">
        <v>263340</v>
      </c>
      <c r="AJ14" s="110"/>
      <c r="AK14" s="111"/>
      <c r="AL14" s="111"/>
      <c r="AM14" s="119"/>
      <c r="AN14" s="119"/>
      <c r="AO14" s="119"/>
      <c r="AP14" s="119"/>
      <c r="AY14" s="147">
        <f t="shared" si="7"/>
        <v>24325810.969999999</v>
      </c>
      <c r="AZ14" s="3">
        <v>24325810.969999999</v>
      </c>
      <c r="BA14" s="190">
        <f t="shared" si="8"/>
        <v>0</v>
      </c>
    </row>
    <row r="15" spans="1:53" ht="110.1" customHeight="1" x14ac:dyDescent="0.25">
      <c r="A15" s="203"/>
      <c r="B15" s="212"/>
      <c r="C15" s="174">
        <f t="shared" si="9"/>
        <v>10</v>
      </c>
      <c r="D15" s="89" t="s">
        <v>139</v>
      </c>
      <c r="E15" s="184">
        <v>336</v>
      </c>
      <c r="F15" s="114">
        <f t="shared" si="1"/>
        <v>74093.318452380947</v>
      </c>
      <c r="G15" s="114">
        <f t="shared" si="2"/>
        <v>74093.318452380947</v>
      </c>
      <c r="H15" s="114">
        <f t="shared" si="10"/>
        <v>74093.318452380947</v>
      </c>
      <c r="I15" s="114">
        <f t="shared" si="3"/>
        <v>24895355</v>
      </c>
      <c r="J15" s="114">
        <f t="shared" si="11"/>
        <v>24895355</v>
      </c>
      <c r="K15" s="114">
        <f t="shared" si="0"/>
        <v>24895355</v>
      </c>
      <c r="L15" s="115"/>
      <c r="M15" s="115"/>
      <c r="N15" s="115"/>
      <c r="O15" s="115"/>
      <c r="P15" s="116">
        <f t="shared" si="4"/>
        <v>24895355</v>
      </c>
      <c r="Q15" s="116"/>
      <c r="R15" s="117">
        <f t="shared" si="5"/>
        <v>24895355</v>
      </c>
      <c r="S15" s="117"/>
      <c r="T15" s="117">
        <f t="shared" si="6"/>
        <v>24895355</v>
      </c>
      <c r="U15" s="105"/>
      <c r="V15" s="105"/>
      <c r="W15" s="118">
        <v>24368675</v>
      </c>
      <c r="X15" s="118">
        <v>24368675</v>
      </c>
      <c r="Y15" s="118">
        <v>24368675</v>
      </c>
      <c r="Z15" s="118"/>
      <c r="AA15" s="118"/>
      <c r="AB15" s="118"/>
      <c r="AC15" s="118"/>
      <c r="AD15" s="118"/>
      <c r="AE15" s="118"/>
      <c r="AF15" s="118"/>
      <c r="AG15" s="119">
        <v>526680</v>
      </c>
      <c r="AH15" s="119">
        <v>526680</v>
      </c>
      <c r="AI15" s="119">
        <v>526680</v>
      </c>
      <c r="AJ15" s="110"/>
      <c r="AK15" s="111"/>
      <c r="AL15" s="111"/>
      <c r="AM15" s="119"/>
      <c r="AN15" s="119"/>
      <c r="AO15" s="119"/>
      <c r="AP15" s="119"/>
      <c r="AY15" s="147">
        <f t="shared" si="7"/>
        <v>40348840.509999998</v>
      </c>
      <c r="AZ15" s="3">
        <v>40348840.509999998</v>
      </c>
      <c r="BA15" s="190">
        <f t="shared" si="8"/>
        <v>0</v>
      </c>
    </row>
    <row r="16" spans="1:53" ht="110.1" customHeight="1" x14ac:dyDescent="0.25">
      <c r="A16" s="203"/>
      <c r="B16" s="212"/>
      <c r="C16" s="174">
        <f t="shared" si="9"/>
        <v>11</v>
      </c>
      <c r="D16" s="89" t="s">
        <v>77</v>
      </c>
      <c r="E16" s="184">
        <v>120</v>
      </c>
      <c r="F16" s="114">
        <f>I16/E16</f>
        <v>95470.416666666672</v>
      </c>
      <c r="G16" s="114">
        <f t="shared" si="2"/>
        <v>95470.416666666672</v>
      </c>
      <c r="H16" s="114">
        <f t="shared" si="10"/>
        <v>95470.416666666672</v>
      </c>
      <c r="I16" s="114">
        <f t="shared" si="3"/>
        <v>11456450</v>
      </c>
      <c r="J16" s="114">
        <f t="shared" si="11"/>
        <v>11456450</v>
      </c>
      <c r="K16" s="114">
        <f t="shared" si="0"/>
        <v>11456450</v>
      </c>
      <c r="L16" s="115"/>
      <c r="M16" s="115"/>
      <c r="N16" s="115"/>
      <c r="O16" s="115"/>
      <c r="P16" s="116">
        <f t="shared" si="4"/>
        <v>11456450</v>
      </c>
      <c r="Q16" s="116"/>
      <c r="R16" s="117">
        <f t="shared" si="5"/>
        <v>11456450</v>
      </c>
      <c r="S16" s="117"/>
      <c r="T16" s="117">
        <f t="shared" si="6"/>
        <v>11456450</v>
      </c>
      <c r="U16" s="105"/>
      <c r="V16" s="105"/>
      <c r="W16" s="118">
        <v>11268350</v>
      </c>
      <c r="X16" s="118">
        <v>11268350</v>
      </c>
      <c r="Y16" s="118">
        <v>11268350</v>
      </c>
      <c r="Z16" s="118"/>
      <c r="AA16" s="118"/>
      <c r="AB16" s="118"/>
      <c r="AC16" s="118"/>
      <c r="AD16" s="118"/>
      <c r="AE16" s="118"/>
      <c r="AF16" s="118"/>
      <c r="AG16" s="119">
        <v>188100</v>
      </c>
      <c r="AH16" s="119">
        <v>188100</v>
      </c>
      <c r="AI16" s="119">
        <v>188100</v>
      </c>
      <c r="AJ16" s="110"/>
      <c r="AK16" s="111"/>
      <c r="AL16" s="111"/>
      <c r="AM16" s="119"/>
      <c r="AN16" s="119"/>
      <c r="AO16" s="119"/>
      <c r="AP16" s="119"/>
      <c r="AY16" s="147">
        <f t="shared" si="7"/>
        <v>16670715.449999999</v>
      </c>
      <c r="AZ16" s="3">
        <v>16670715.449999999</v>
      </c>
      <c r="BA16" s="190">
        <f t="shared" si="8"/>
        <v>0</v>
      </c>
    </row>
    <row r="17" spans="1:53" ht="110.1" customHeight="1" x14ac:dyDescent="0.25">
      <c r="A17" s="203"/>
      <c r="B17" s="212"/>
      <c r="C17" s="174">
        <f t="shared" si="9"/>
        <v>12</v>
      </c>
      <c r="D17" s="89" t="s">
        <v>214</v>
      </c>
      <c r="E17" s="184">
        <v>448</v>
      </c>
      <c r="F17" s="114">
        <f t="shared" si="1"/>
        <v>53685.180803571428</v>
      </c>
      <c r="G17" s="114">
        <f t="shared" si="2"/>
        <v>53685.180803571428</v>
      </c>
      <c r="H17" s="114">
        <f t="shared" si="10"/>
        <v>53685.180803571428</v>
      </c>
      <c r="I17" s="114">
        <f t="shared" si="3"/>
        <v>24050961</v>
      </c>
      <c r="J17" s="114">
        <f t="shared" si="11"/>
        <v>24050961</v>
      </c>
      <c r="K17" s="114">
        <f t="shared" si="0"/>
        <v>24050961</v>
      </c>
      <c r="L17" s="115"/>
      <c r="M17" s="115"/>
      <c r="N17" s="115"/>
      <c r="O17" s="115"/>
      <c r="P17" s="116">
        <f t="shared" si="4"/>
        <v>24050961</v>
      </c>
      <c r="Q17" s="116"/>
      <c r="R17" s="117">
        <f t="shared" si="5"/>
        <v>24050961</v>
      </c>
      <c r="S17" s="117"/>
      <c r="T17" s="117">
        <f t="shared" si="6"/>
        <v>24050961</v>
      </c>
      <c r="U17" s="105"/>
      <c r="V17" s="105"/>
      <c r="W17" s="118">
        <v>23348721</v>
      </c>
      <c r="X17" s="118">
        <v>23348721</v>
      </c>
      <c r="Y17" s="118">
        <v>23348721</v>
      </c>
      <c r="Z17" s="118"/>
      <c r="AA17" s="118"/>
      <c r="AB17" s="118"/>
      <c r="AC17" s="118"/>
      <c r="AD17" s="118"/>
      <c r="AE17" s="118"/>
      <c r="AF17" s="118"/>
      <c r="AG17" s="119">
        <v>702240</v>
      </c>
      <c r="AH17" s="119">
        <v>702240</v>
      </c>
      <c r="AI17" s="119">
        <v>702240</v>
      </c>
      <c r="AJ17" s="110"/>
      <c r="AK17" s="111"/>
      <c r="AL17" s="111"/>
      <c r="AM17" s="119"/>
      <c r="AN17" s="119"/>
      <c r="AO17" s="119"/>
      <c r="AP17" s="119"/>
      <c r="AY17" s="147">
        <f t="shared" si="7"/>
        <v>35532643.329999998</v>
      </c>
      <c r="AZ17" s="3">
        <v>35532643.329999998</v>
      </c>
      <c r="BA17" s="190">
        <f t="shared" si="8"/>
        <v>0</v>
      </c>
    </row>
    <row r="18" spans="1:53" ht="110.1" customHeight="1" x14ac:dyDescent="0.25">
      <c r="A18" s="203"/>
      <c r="B18" s="212"/>
      <c r="C18" s="174">
        <f t="shared" si="9"/>
        <v>13</v>
      </c>
      <c r="D18" s="89" t="s">
        <v>78</v>
      </c>
      <c r="E18" s="184">
        <v>350</v>
      </c>
      <c r="F18" s="114">
        <f t="shared" si="1"/>
        <v>77629.597142857136</v>
      </c>
      <c r="G18" s="114">
        <f t="shared" si="2"/>
        <v>77629.597142857136</v>
      </c>
      <c r="H18" s="114">
        <f t="shared" si="10"/>
        <v>77629.597142857136</v>
      </c>
      <c r="I18" s="114">
        <f t="shared" si="3"/>
        <v>27170359</v>
      </c>
      <c r="J18" s="114">
        <f t="shared" si="11"/>
        <v>27170359</v>
      </c>
      <c r="K18" s="114">
        <f t="shared" si="0"/>
        <v>27170359</v>
      </c>
      <c r="L18" s="115"/>
      <c r="M18" s="115"/>
      <c r="N18" s="115"/>
      <c r="O18" s="115"/>
      <c r="P18" s="116">
        <f t="shared" si="4"/>
        <v>27170359</v>
      </c>
      <c r="Q18" s="116"/>
      <c r="R18" s="117">
        <f t="shared" si="5"/>
        <v>27170359</v>
      </c>
      <c r="S18" s="117"/>
      <c r="T18" s="117">
        <f t="shared" si="6"/>
        <v>27170359</v>
      </c>
      <c r="U18" s="105"/>
      <c r="V18" s="105"/>
      <c r="W18" s="118">
        <v>26621734</v>
      </c>
      <c r="X18" s="118">
        <v>26621734</v>
      </c>
      <c r="Y18" s="118">
        <v>26621734</v>
      </c>
      <c r="Z18" s="118"/>
      <c r="AA18" s="118"/>
      <c r="AB18" s="118"/>
      <c r="AC18" s="118"/>
      <c r="AD18" s="118"/>
      <c r="AE18" s="118"/>
      <c r="AF18" s="118"/>
      <c r="AG18" s="119">
        <v>548625</v>
      </c>
      <c r="AH18" s="119">
        <v>548625</v>
      </c>
      <c r="AI18" s="119">
        <v>548625</v>
      </c>
      <c r="AJ18" s="110"/>
      <c r="AK18" s="111"/>
      <c r="AL18" s="111"/>
      <c r="AM18" s="119"/>
      <c r="AN18" s="119"/>
      <c r="AO18" s="119"/>
      <c r="AP18" s="119"/>
      <c r="AY18" s="147">
        <f t="shared" si="7"/>
        <v>37436865.009999998</v>
      </c>
      <c r="AZ18" s="3">
        <v>37436865.009999998</v>
      </c>
      <c r="BA18" s="190">
        <f t="shared" si="8"/>
        <v>0</v>
      </c>
    </row>
    <row r="19" spans="1:53" ht="110.1" customHeight="1" x14ac:dyDescent="0.25">
      <c r="A19" s="203"/>
      <c r="B19" s="212"/>
      <c r="C19" s="174">
        <f t="shared" si="9"/>
        <v>14</v>
      </c>
      <c r="D19" s="89" t="s">
        <v>215</v>
      </c>
      <c r="E19" s="184">
        <v>286</v>
      </c>
      <c r="F19" s="114">
        <f t="shared" si="1"/>
        <v>86774.622377622378</v>
      </c>
      <c r="G19" s="114">
        <f t="shared" si="2"/>
        <v>86774.622377622378</v>
      </c>
      <c r="H19" s="114">
        <f t="shared" si="10"/>
        <v>86774.622377622378</v>
      </c>
      <c r="I19" s="114">
        <f t="shared" si="3"/>
        <v>24817542</v>
      </c>
      <c r="J19" s="114">
        <f t="shared" si="11"/>
        <v>24817542</v>
      </c>
      <c r="K19" s="114">
        <f t="shared" si="0"/>
        <v>24817542</v>
      </c>
      <c r="L19" s="115"/>
      <c r="M19" s="115"/>
      <c r="N19" s="115"/>
      <c r="O19" s="115"/>
      <c r="P19" s="116">
        <f t="shared" si="4"/>
        <v>24817542</v>
      </c>
      <c r="Q19" s="116"/>
      <c r="R19" s="117">
        <f t="shared" si="5"/>
        <v>24817542</v>
      </c>
      <c r="S19" s="117"/>
      <c r="T19" s="117">
        <f t="shared" si="6"/>
        <v>24817542</v>
      </c>
      <c r="U19" s="105"/>
      <c r="V19" s="105"/>
      <c r="W19" s="118">
        <v>24369237</v>
      </c>
      <c r="X19" s="118">
        <v>24369237</v>
      </c>
      <c r="Y19" s="118">
        <v>24369237</v>
      </c>
      <c r="Z19" s="118"/>
      <c r="AA19" s="118"/>
      <c r="AB19" s="118"/>
      <c r="AC19" s="118"/>
      <c r="AD19" s="118"/>
      <c r="AE19" s="118"/>
      <c r="AF19" s="118"/>
      <c r="AG19" s="119">
        <v>448305</v>
      </c>
      <c r="AH19" s="119">
        <v>448305</v>
      </c>
      <c r="AI19" s="119">
        <v>448305</v>
      </c>
      <c r="AJ19" s="110"/>
      <c r="AK19" s="111"/>
      <c r="AL19" s="111"/>
      <c r="AM19" s="119"/>
      <c r="AN19" s="119"/>
      <c r="AO19" s="119"/>
      <c r="AP19" s="119"/>
      <c r="AY19" s="147">
        <f t="shared" si="7"/>
        <v>36082621.880000003</v>
      </c>
      <c r="AZ19" s="3">
        <v>36082621.880000003</v>
      </c>
      <c r="BA19" s="190">
        <f t="shared" si="8"/>
        <v>0</v>
      </c>
    </row>
    <row r="20" spans="1:53" ht="110.1" customHeight="1" x14ac:dyDescent="0.25">
      <c r="A20" s="203"/>
      <c r="B20" s="212"/>
      <c r="C20" s="174">
        <f t="shared" si="9"/>
        <v>15</v>
      </c>
      <c r="D20" s="89" t="s">
        <v>80</v>
      </c>
      <c r="E20" s="184">
        <v>131</v>
      </c>
      <c r="F20" s="114">
        <f t="shared" si="1"/>
        <v>123371.67938931298</v>
      </c>
      <c r="G20" s="114">
        <f t="shared" si="2"/>
        <v>123371.67938931298</v>
      </c>
      <c r="H20" s="114">
        <f t="shared" si="10"/>
        <v>123371.67938931298</v>
      </c>
      <c r="I20" s="114">
        <f t="shared" si="3"/>
        <v>16161690</v>
      </c>
      <c r="J20" s="114">
        <f t="shared" si="11"/>
        <v>16161690</v>
      </c>
      <c r="K20" s="114">
        <f t="shared" si="0"/>
        <v>16161690</v>
      </c>
      <c r="L20" s="115"/>
      <c r="M20" s="115"/>
      <c r="N20" s="115"/>
      <c r="O20" s="115"/>
      <c r="P20" s="116">
        <f t="shared" si="4"/>
        <v>16161690</v>
      </c>
      <c r="Q20" s="116"/>
      <c r="R20" s="117">
        <f t="shared" si="5"/>
        <v>16161690</v>
      </c>
      <c r="S20" s="117"/>
      <c r="T20" s="117">
        <f t="shared" si="6"/>
        <v>16161690</v>
      </c>
      <c r="U20" s="105"/>
      <c r="V20" s="105"/>
      <c r="W20" s="118">
        <v>15956350</v>
      </c>
      <c r="X20" s="118">
        <v>15956350</v>
      </c>
      <c r="Y20" s="118">
        <v>15956350</v>
      </c>
      <c r="Z20" s="118"/>
      <c r="AA20" s="118"/>
      <c r="AB20" s="118"/>
      <c r="AC20" s="118"/>
      <c r="AD20" s="118"/>
      <c r="AE20" s="118"/>
      <c r="AF20" s="118"/>
      <c r="AG20" s="119">
        <v>205340</v>
      </c>
      <c r="AH20" s="119">
        <v>205340</v>
      </c>
      <c r="AI20" s="119">
        <v>205340</v>
      </c>
      <c r="AJ20" s="110"/>
      <c r="AK20" s="111"/>
      <c r="AL20" s="111"/>
      <c r="AM20" s="119"/>
      <c r="AN20" s="119"/>
      <c r="AO20" s="119"/>
      <c r="AP20" s="119"/>
      <c r="AY20" s="147">
        <f t="shared" si="7"/>
        <v>22973526.18</v>
      </c>
      <c r="AZ20" s="3">
        <v>22973526.18</v>
      </c>
      <c r="BA20" s="190">
        <f t="shared" si="8"/>
        <v>0</v>
      </c>
    </row>
    <row r="21" spans="1:53" ht="110.1" customHeight="1" x14ac:dyDescent="0.25">
      <c r="A21" s="203"/>
      <c r="B21" s="212"/>
      <c r="C21" s="174">
        <f t="shared" si="9"/>
        <v>16</v>
      </c>
      <c r="D21" s="89" t="s">
        <v>216</v>
      </c>
      <c r="E21" s="184">
        <v>125</v>
      </c>
      <c r="F21" s="114">
        <f t="shared" si="1"/>
        <v>97494.399999999994</v>
      </c>
      <c r="G21" s="114">
        <f t="shared" si="2"/>
        <v>97494.399999999994</v>
      </c>
      <c r="H21" s="114">
        <f t="shared" si="10"/>
        <v>97494.399999999994</v>
      </c>
      <c r="I21" s="114">
        <f t="shared" si="3"/>
        <v>12186800</v>
      </c>
      <c r="J21" s="114">
        <f t="shared" si="11"/>
        <v>12186800</v>
      </c>
      <c r="K21" s="114">
        <f t="shared" si="0"/>
        <v>12186800</v>
      </c>
      <c r="L21" s="115"/>
      <c r="M21" s="115"/>
      <c r="N21" s="115"/>
      <c r="O21" s="115"/>
      <c r="P21" s="116">
        <f t="shared" si="4"/>
        <v>12186800</v>
      </c>
      <c r="Q21" s="116"/>
      <c r="R21" s="117">
        <f t="shared" si="5"/>
        <v>12186800</v>
      </c>
      <c r="S21" s="117"/>
      <c r="T21" s="117">
        <f t="shared" si="6"/>
        <v>12186800</v>
      </c>
      <c r="U21" s="105"/>
      <c r="V21" s="105"/>
      <c r="W21" s="118">
        <v>11990863</v>
      </c>
      <c r="X21" s="118">
        <v>11990863</v>
      </c>
      <c r="Y21" s="118">
        <v>11990863</v>
      </c>
      <c r="Z21" s="118"/>
      <c r="AA21" s="118"/>
      <c r="AB21" s="118"/>
      <c r="AC21" s="118"/>
      <c r="AD21" s="118"/>
      <c r="AE21" s="118"/>
      <c r="AF21" s="118"/>
      <c r="AG21" s="119">
        <v>195937</v>
      </c>
      <c r="AH21" s="119">
        <v>195937</v>
      </c>
      <c r="AI21" s="119">
        <v>195937</v>
      </c>
      <c r="AJ21" s="110"/>
      <c r="AK21" s="111"/>
      <c r="AL21" s="111"/>
      <c r="AM21" s="119"/>
      <c r="AN21" s="119"/>
      <c r="AO21" s="119"/>
      <c r="AP21" s="119"/>
      <c r="AY21" s="147">
        <f t="shared" si="7"/>
        <v>17795651.41</v>
      </c>
      <c r="AZ21" s="3">
        <v>17795651.41</v>
      </c>
      <c r="BA21" s="190">
        <f t="shared" si="8"/>
        <v>0</v>
      </c>
    </row>
    <row r="22" spans="1:53" ht="110.1" customHeight="1" x14ac:dyDescent="0.25">
      <c r="A22" s="203"/>
      <c r="B22" s="212"/>
      <c r="C22" s="174">
        <f t="shared" si="9"/>
        <v>17</v>
      </c>
      <c r="D22" s="89" t="s">
        <v>217</v>
      </c>
      <c r="E22" s="184">
        <v>414</v>
      </c>
      <c r="F22" s="114">
        <f t="shared" si="1"/>
        <v>74242.55072463768</v>
      </c>
      <c r="G22" s="114">
        <f t="shared" si="2"/>
        <v>74242.55072463768</v>
      </c>
      <c r="H22" s="114">
        <f t="shared" si="10"/>
        <v>74242.55072463768</v>
      </c>
      <c r="I22" s="114">
        <f t="shared" si="3"/>
        <v>30736416</v>
      </c>
      <c r="J22" s="114">
        <f t="shared" si="11"/>
        <v>30736416</v>
      </c>
      <c r="K22" s="114">
        <f t="shared" si="0"/>
        <v>30736416</v>
      </c>
      <c r="L22" s="115"/>
      <c r="M22" s="115"/>
      <c r="N22" s="115"/>
      <c r="O22" s="115"/>
      <c r="P22" s="116">
        <f t="shared" si="4"/>
        <v>30736416</v>
      </c>
      <c r="Q22" s="116"/>
      <c r="R22" s="117">
        <f t="shared" si="5"/>
        <v>30736416</v>
      </c>
      <c r="S22" s="117"/>
      <c r="T22" s="117">
        <f t="shared" si="6"/>
        <v>30736416</v>
      </c>
      <c r="U22" s="105"/>
      <c r="V22" s="105"/>
      <c r="W22" s="118">
        <v>30087476</v>
      </c>
      <c r="X22" s="118">
        <v>30087476</v>
      </c>
      <c r="Y22" s="118">
        <v>30087476</v>
      </c>
      <c r="Z22" s="118"/>
      <c r="AA22" s="118"/>
      <c r="AB22" s="118"/>
      <c r="AC22" s="118"/>
      <c r="AD22" s="118"/>
      <c r="AE22" s="118"/>
      <c r="AF22" s="118"/>
      <c r="AG22" s="119">
        <v>648940</v>
      </c>
      <c r="AH22" s="119">
        <v>648940</v>
      </c>
      <c r="AI22" s="119">
        <v>648940</v>
      </c>
      <c r="AJ22" s="110"/>
      <c r="AK22" s="111"/>
      <c r="AL22" s="111"/>
      <c r="AM22" s="119"/>
      <c r="AN22" s="119"/>
      <c r="AO22" s="119"/>
      <c r="AP22" s="119"/>
      <c r="AY22" s="147">
        <f t="shared" si="7"/>
        <v>43539284.219999999</v>
      </c>
      <c r="AZ22" s="3">
        <v>43539284.219999999</v>
      </c>
      <c r="BA22" s="190">
        <f t="shared" si="8"/>
        <v>0</v>
      </c>
    </row>
    <row r="23" spans="1:53" ht="110.1" customHeight="1" x14ac:dyDescent="0.25">
      <c r="A23" s="203"/>
      <c r="B23" s="212"/>
      <c r="C23" s="174">
        <f t="shared" si="9"/>
        <v>18</v>
      </c>
      <c r="D23" s="89" t="s">
        <v>218</v>
      </c>
      <c r="E23" s="184">
        <v>135</v>
      </c>
      <c r="F23" s="114">
        <f t="shared" si="1"/>
        <v>81582.311111111107</v>
      </c>
      <c r="G23" s="114">
        <f t="shared" si="2"/>
        <v>81582.311111111107</v>
      </c>
      <c r="H23" s="114">
        <f t="shared" si="10"/>
        <v>81582.311111111107</v>
      </c>
      <c r="I23" s="114">
        <f t="shared" si="3"/>
        <v>11013612</v>
      </c>
      <c r="J23" s="114">
        <f t="shared" si="11"/>
        <v>11013612</v>
      </c>
      <c r="K23" s="114">
        <f t="shared" si="0"/>
        <v>11013612</v>
      </c>
      <c r="L23" s="115"/>
      <c r="M23" s="115"/>
      <c r="N23" s="115"/>
      <c r="O23" s="115"/>
      <c r="P23" s="116">
        <f t="shared" si="4"/>
        <v>11013612</v>
      </c>
      <c r="Q23" s="116"/>
      <c r="R23" s="117">
        <f t="shared" si="5"/>
        <v>11013612</v>
      </c>
      <c r="S23" s="117"/>
      <c r="T23" s="117">
        <f t="shared" si="6"/>
        <v>11013612</v>
      </c>
      <c r="U23" s="105"/>
      <c r="V23" s="105"/>
      <c r="W23" s="118">
        <v>10802000</v>
      </c>
      <c r="X23" s="118">
        <v>10802000</v>
      </c>
      <c r="Y23" s="118">
        <v>10802000</v>
      </c>
      <c r="Z23" s="118"/>
      <c r="AA23" s="118"/>
      <c r="AB23" s="118"/>
      <c r="AC23" s="118"/>
      <c r="AD23" s="118"/>
      <c r="AE23" s="118"/>
      <c r="AF23" s="118"/>
      <c r="AG23" s="119">
        <v>211612</v>
      </c>
      <c r="AH23" s="119">
        <v>211612</v>
      </c>
      <c r="AI23" s="119">
        <v>211612</v>
      </c>
      <c r="AJ23" s="110"/>
      <c r="AK23" s="111"/>
      <c r="AL23" s="111"/>
      <c r="AM23" s="119"/>
      <c r="AN23" s="119"/>
      <c r="AO23" s="119"/>
      <c r="AP23" s="119"/>
      <c r="AY23" s="147">
        <f t="shared" si="7"/>
        <v>15656438.75</v>
      </c>
      <c r="AZ23" s="3">
        <v>15656438.75</v>
      </c>
      <c r="BA23" s="190">
        <f t="shared" si="8"/>
        <v>0</v>
      </c>
    </row>
    <row r="24" spans="1:53" ht="110.1" customHeight="1" x14ac:dyDescent="0.25">
      <c r="A24" s="203"/>
      <c r="B24" s="212"/>
      <c r="C24" s="174">
        <f t="shared" si="9"/>
        <v>19</v>
      </c>
      <c r="D24" s="89" t="s">
        <v>174</v>
      </c>
      <c r="E24" s="184">
        <v>247</v>
      </c>
      <c r="F24" s="114">
        <f t="shared" si="1"/>
        <v>130874.94331983806</v>
      </c>
      <c r="G24" s="114">
        <f t="shared" si="2"/>
        <v>130874.94331983806</v>
      </c>
      <c r="H24" s="114">
        <f t="shared" si="10"/>
        <v>130874.94331983806</v>
      </c>
      <c r="I24" s="114">
        <f t="shared" si="3"/>
        <v>32326111</v>
      </c>
      <c r="J24" s="114">
        <f t="shared" si="11"/>
        <v>32326111</v>
      </c>
      <c r="K24" s="114">
        <f t="shared" si="0"/>
        <v>32326111</v>
      </c>
      <c r="L24" s="115"/>
      <c r="M24" s="115"/>
      <c r="N24" s="115"/>
      <c r="O24" s="115"/>
      <c r="P24" s="116">
        <f t="shared" si="4"/>
        <v>32326111</v>
      </c>
      <c r="Q24" s="116"/>
      <c r="R24" s="117">
        <f t="shared" si="5"/>
        <v>32326111</v>
      </c>
      <c r="S24" s="117"/>
      <c r="T24" s="117">
        <f t="shared" si="6"/>
        <v>32326111</v>
      </c>
      <c r="U24" s="105"/>
      <c r="V24" s="105"/>
      <c r="W24" s="118">
        <v>31934241</v>
      </c>
      <c r="X24" s="118">
        <v>31934241</v>
      </c>
      <c r="Y24" s="118">
        <v>31934241</v>
      </c>
      <c r="Z24" s="118"/>
      <c r="AA24" s="118"/>
      <c r="AB24" s="118"/>
      <c r="AC24" s="118"/>
      <c r="AD24" s="118"/>
      <c r="AE24" s="118"/>
      <c r="AF24" s="118"/>
      <c r="AG24" s="119">
        <v>391870</v>
      </c>
      <c r="AH24" s="119">
        <v>391870</v>
      </c>
      <c r="AI24" s="119">
        <v>391870</v>
      </c>
      <c r="AJ24" s="110"/>
      <c r="AK24" s="111"/>
      <c r="AL24" s="111"/>
      <c r="AM24" s="119"/>
      <c r="AN24" s="119"/>
      <c r="AO24" s="119"/>
      <c r="AP24" s="119"/>
      <c r="AY24" s="147">
        <f t="shared" si="7"/>
        <v>45973494.230000004</v>
      </c>
      <c r="AZ24" s="3">
        <v>45973494.229999997</v>
      </c>
      <c r="BA24" s="190">
        <f t="shared" si="8"/>
        <v>0</v>
      </c>
    </row>
    <row r="25" spans="1:53" ht="110.1" customHeight="1" x14ac:dyDescent="0.25">
      <c r="A25" s="203"/>
      <c r="B25" s="212"/>
      <c r="C25" s="174">
        <f t="shared" si="9"/>
        <v>20</v>
      </c>
      <c r="D25" s="89" t="s">
        <v>84</v>
      </c>
      <c r="E25" s="184">
        <v>305</v>
      </c>
      <c r="F25" s="114">
        <f t="shared" si="1"/>
        <v>84908.675409836069</v>
      </c>
      <c r="G25" s="114">
        <f t="shared" si="2"/>
        <v>84908.675409836069</v>
      </c>
      <c r="H25" s="114">
        <f t="shared" si="10"/>
        <v>84908.675409836069</v>
      </c>
      <c r="I25" s="114">
        <f t="shared" si="3"/>
        <v>25897146</v>
      </c>
      <c r="J25" s="114">
        <f t="shared" si="11"/>
        <v>25897146</v>
      </c>
      <c r="K25" s="114">
        <f t="shared" si="0"/>
        <v>25897146</v>
      </c>
      <c r="L25" s="115"/>
      <c r="M25" s="115"/>
      <c r="N25" s="115"/>
      <c r="O25" s="115"/>
      <c r="P25" s="116">
        <f t="shared" si="4"/>
        <v>25897146</v>
      </c>
      <c r="Q25" s="116"/>
      <c r="R25" s="117">
        <f t="shared" si="5"/>
        <v>25897146</v>
      </c>
      <c r="S25" s="117"/>
      <c r="T25" s="117">
        <f t="shared" si="6"/>
        <v>25897146</v>
      </c>
      <c r="U25" s="105"/>
      <c r="V25" s="105"/>
      <c r="W25" s="118">
        <v>25419059</v>
      </c>
      <c r="X25" s="118">
        <v>25419059</v>
      </c>
      <c r="Y25" s="118">
        <v>25419059</v>
      </c>
      <c r="Z25" s="118"/>
      <c r="AA25" s="118"/>
      <c r="AB25" s="118"/>
      <c r="AC25" s="118"/>
      <c r="AD25" s="118"/>
      <c r="AE25" s="118"/>
      <c r="AF25" s="118"/>
      <c r="AG25" s="119">
        <v>478087</v>
      </c>
      <c r="AH25" s="119">
        <v>478087</v>
      </c>
      <c r="AI25" s="119">
        <v>478087</v>
      </c>
      <c r="AJ25" s="110"/>
      <c r="AK25" s="111"/>
      <c r="AL25" s="111"/>
      <c r="AM25" s="119"/>
      <c r="AN25" s="119"/>
      <c r="AO25" s="119"/>
      <c r="AP25" s="119"/>
      <c r="AY25" s="147">
        <f t="shared" si="7"/>
        <v>35200421.840000004</v>
      </c>
      <c r="AZ25" s="3">
        <v>35200421.840000004</v>
      </c>
      <c r="BA25" s="190">
        <f t="shared" si="8"/>
        <v>0</v>
      </c>
    </row>
    <row r="26" spans="1:53" ht="110.1" customHeight="1" x14ac:dyDescent="0.25">
      <c r="A26" s="203"/>
      <c r="B26" s="212"/>
      <c r="C26" s="174">
        <f t="shared" si="9"/>
        <v>21</v>
      </c>
      <c r="D26" s="89" t="s">
        <v>175</v>
      </c>
      <c r="E26" s="184">
        <v>288</v>
      </c>
      <c r="F26" s="114">
        <f t="shared" si="1"/>
        <v>76520.701388888891</v>
      </c>
      <c r="G26" s="114">
        <f t="shared" si="2"/>
        <v>76520.701388888891</v>
      </c>
      <c r="H26" s="114">
        <f t="shared" si="10"/>
        <v>76520.701388888891</v>
      </c>
      <c r="I26" s="114">
        <f t="shared" si="3"/>
        <v>22037962</v>
      </c>
      <c r="J26" s="114">
        <f t="shared" si="11"/>
        <v>22037962</v>
      </c>
      <c r="K26" s="114">
        <f t="shared" si="0"/>
        <v>22037962</v>
      </c>
      <c r="L26" s="115"/>
      <c r="M26" s="115"/>
      <c r="N26" s="115"/>
      <c r="O26" s="115"/>
      <c r="P26" s="116">
        <f t="shared" si="4"/>
        <v>22037962</v>
      </c>
      <c r="Q26" s="116"/>
      <c r="R26" s="117">
        <f t="shared" si="5"/>
        <v>22037962</v>
      </c>
      <c r="S26" s="117"/>
      <c r="T26" s="117">
        <f t="shared" si="6"/>
        <v>22037962</v>
      </c>
      <c r="U26" s="105"/>
      <c r="V26" s="105"/>
      <c r="W26" s="118">
        <v>21586522</v>
      </c>
      <c r="X26" s="118">
        <v>21586522</v>
      </c>
      <c r="Y26" s="118">
        <v>21586522</v>
      </c>
      <c r="Z26" s="118"/>
      <c r="AA26" s="118"/>
      <c r="AB26" s="118"/>
      <c r="AC26" s="118"/>
      <c r="AD26" s="118"/>
      <c r="AE26" s="118"/>
      <c r="AF26" s="118"/>
      <c r="AG26" s="119">
        <v>451440</v>
      </c>
      <c r="AH26" s="119">
        <v>451440</v>
      </c>
      <c r="AI26" s="119">
        <v>451440</v>
      </c>
      <c r="AJ26" s="110"/>
      <c r="AK26" s="111"/>
      <c r="AL26" s="111"/>
      <c r="AM26" s="119"/>
      <c r="AN26" s="119"/>
      <c r="AO26" s="119"/>
      <c r="AP26" s="119"/>
      <c r="AY26" s="147">
        <f t="shared" si="7"/>
        <v>37003001.380000003</v>
      </c>
      <c r="AZ26" s="3">
        <v>37003001.380000003</v>
      </c>
      <c r="BA26" s="190">
        <f t="shared" si="8"/>
        <v>0</v>
      </c>
    </row>
    <row r="27" spans="1:53" ht="110.1" customHeight="1" x14ac:dyDescent="0.25">
      <c r="A27" s="203"/>
      <c r="B27" s="212"/>
      <c r="C27" s="174">
        <f t="shared" si="9"/>
        <v>22</v>
      </c>
      <c r="D27" s="89" t="s">
        <v>11</v>
      </c>
      <c r="E27" s="184">
        <v>89</v>
      </c>
      <c r="F27" s="114">
        <f t="shared" si="1"/>
        <v>106150.9213483146</v>
      </c>
      <c r="G27" s="114">
        <f t="shared" si="2"/>
        <v>106150.9213483146</v>
      </c>
      <c r="H27" s="114">
        <f t="shared" si="10"/>
        <v>106150.9213483146</v>
      </c>
      <c r="I27" s="114">
        <f t="shared" si="3"/>
        <v>9447432</v>
      </c>
      <c r="J27" s="114">
        <f t="shared" si="11"/>
        <v>9447432</v>
      </c>
      <c r="K27" s="114">
        <f t="shared" si="0"/>
        <v>9447432</v>
      </c>
      <c r="L27" s="115"/>
      <c r="M27" s="115"/>
      <c r="N27" s="115"/>
      <c r="O27" s="115"/>
      <c r="P27" s="116">
        <f t="shared" si="4"/>
        <v>9447432</v>
      </c>
      <c r="Q27" s="116"/>
      <c r="R27" s="117">
        <f t="shared" si="5"/>
        <v>9447432</v>
      </c>
      <c r="S27" s="117"/>
      <c r="T27" s="117">
        <f t="shared" si="6"/>
        <v>9447432</v>
      </c>
      <c r="U27" s="105"/>
      <c r="V27" s="105"/>
      <c r="W27" s="118">
        <v>9307922</v>
      </c>
      <c r="X27" s="118">
        <v>9307922</v>
      </c>
      <c r="Y27" s="118">
        <v>9307922</v>
      </c>
      <c r="Z27" s="118"/>
      <c r="AA27" s="118"/>
      <c r="AB27" s="118"/>
      <c r="AC27" s="118"/>
      <c r="AD27" s="118"/>
      <c r="AE27" s="118"/>
      <c r="AF27" s="118"/>
      <c r="AG27" s="119">
        <v>139510</v>
      </c>
      <c r="AH27" s="119">
        <v>139510</v>
      </c>
      <c r="AI27" s="119">
        <v>139510</v>
      </c>
      <c r="AJ27" s="110"/>
      <c r="AK27" s="111"/>
      <c r="AL27" s="111"/>
      <c r="AM27" s="119"/>
      <c r="AN27" s="119"/>
      <c r="AO27" s="119"/>
      <c r="AP27" s="119"/>
      <c r="AY27" s="147">
        <f t="shared" si="7"/>
        <v>15059367.609999999</v>
      </c>
      <c r="AZ27" s="3">
        <v>15059367.609999999</v>
      </c>
      <c r="BA27" s="190">
        <f t="shared" si="8"/>
        <v>0</v>
      </c>
    </row>
    <row r="28" spans="1:53" ht="110.1" customHeight="1" x14ac:dyDescent="0.25">
      <c r="A28" s="203"/>
      <c r="B28" s="212"/>
      <c r="C28" s="174">
        <f t="shared" si="9"/>
        <v>23</v>
      </c>
      <c r="D28" s="89" t="s">
        <v>219</v>
      </c>
      <c r="E28" s="184">
        <v>54</v>
      </c>
      <c r="F28" s="114">
        <f t="shared" si="1"/>
        <v>106278</v>
      </c>
      <c r="G28" s="114">
        <f t="shared" si="2"/>
        <v>106278</v>
      </c>
      <c r="H28" s="114">
        <f t="shared" si="10"/>
        <v>106278</v>
      </c>
      <c r="I28" s="114">
        <f t="shared" si="3"/>
        <v>5739012</v>
      </c>
      <c r="J28" s="114">
        <f t="shared" si="11"/>
        <v>5739012</v>
      </c>
      <c r="K28" s="114">
        <f t="shared" si="0"/>
        <v>5739012</v>
      </c>
      <c r="L28" s="115"/>
      <c r="M28" s="115"/>
      <c r="N28" s="115"/>
      <c r="O28" s="115"/>
      <c r="P28" s="116">
        <f t="shared" si="4"/>
        <v>5739012</v>
      </c>
      <c r="Q28" s="116"/>
      <c r="R28" s="117">
        <f t="shared" si="5"/>
        <v>5739012</v>
      </c>
      <c r="S28" s="117"/>
      <c r="T28" s="117">
        <f t="shared" si="6"/>
        <v>5739012</v>
      </c>
      <c r="U28" s="105"/>
      <c r="V28" s="105"/>
      <c r="W28" s="118">
        <v>5654367</v>
      </c>
      <c r="X28" s="118">
        <v>5654367</v>
      </c>
      <c r="Y28" s="118">
        <v>5654367</v>
      </c>
      <c r="Z28" s="118"/>
      <c r="AA28" s="118"/>
      <c r="AB28" s="118"/>
      <c r="AC28" s="118"/>
      <c r="AD28" s="118"/>
      <c r="AE28" s="118"/>
      <c r="AF28" s="118"/>
      <c r="AG28" s="119">
        <v>84645</v>
      </c>
      <c r="AH28" s="119">
        <v>84645</v>
      </c>
      <c r="AI28" s="119">
        <v>84645</v>
      </c>
      <c r="AJ28" s="110"/>
      <c r="AK28" s="111"/>
      <c r="AL28" s="111"/>
      <c r="AM28" s="119"/>
      <c r="AN28" s="119"/>
      <c r="AO28" s="119"/>
      <c r="AP28" s="119"/>
      <c r="AY28" s="147">
        <f t="shared" si="7"/>
        <v>9605377</v>
      </c>
      <c r="AZ28" s="3">
        <v>9605377</v>
      </c>
      <c r="BA28" s="190">
        <f t="shared" si="8"/>
        <v>0</v>
      </c>
    </row>
    <row r="29" spans="1:53" ht="110.1" customHeight="1" x14ac:dyDescent="0.25">
      <c r="A29" s="203"/>
      <c r="B29" s="212"/>
      <c r="C29" s="174">
        <f t="shared" si="9"/>
        <v>24</v>
      </c>
      <c r="D29" s="89" t="s">
        <v>86</v>
      </c>
      <c r="E29" s="184">
        <v>118</v>
      </c>
      <c r="F29" s="114">
        <f t="shared" si="1"/>
        <v>85410.728813559326</v>
      </c>
      <c r="G29" s="114">
        <f t="shared" si="2"/>
        <v>85410.728813559326</v>
      </c>
      <c r="H29" s="114">
        <f t="shared" si="10"/>
        <v>85410.728813559326</v>
      </c>
      <c r="I29" s="114">
        <f t="shared" si="3"/>
        <v>10078466</v>
      </c>
      <c r="J29" s="114">
        <f t="shared" si="11"/>
        <v>10078466</v>
      </c>
      <c r="K29" s="114">
        <f t="shared" si="0"/>
        <v>10078466</v>
      </c>
      <c r="L29" s="115"/>
      <c r="M29" s="115"/>
      <c r="N29" s="115"/>
      <c r="O29" s="115"/>
      <c r="P29" s="116">
        <f t="shared" si="4"/>
        <v>10078466</v>
      </c>
      <c r="Q29" s="116"/>
      <c r="R29" s="117">
        <f t="shared" si="5"/>
        <v>10078466</v>
      </c>
      <c r="S29" s="117"/>
      <c r="T29" s="117">
        <f t="shared" si="6"/>
        <v>10078466</v>
      </c>
      <c r="U29" s="105"/>
      <c r="V29" s="105"/>
      <c r="W29" s="118">
        <v>9893501</v>
      </c>
      <c r="X29" s="118">
        <v>9893501</v>
      </c>
      <c r="Y29" s="118">
        <v>9893501</v>
      </c>
      <c r="Z29" s="118"/>
      <c r="AA29" s="118"/>
      <c r="AB29" s="118"/>
      <c r="AC29" s="118"/>
      <c r="AD29" s="118"/>
      <c r="AE29" s="118"/>
      <c r="AF29" s="118"/>
      <c r="AG29" s="119">
        <v>184965</v>
      </c>
      <c r="AH29" s="119">
        <v>184965</v>
      </c>
      <c r="AI29" s="119">
        <v>184965</v>
      </c>
      <c r="AJ29" s="110"/>
      <c r="AK29" s="111"/>
      <c r="AL29" s="111"/>
      <c r="AM29" s="119"/>
      <c r="AN29" s="119"/>
      <c r="AO29" s="119"/>
      <c r="AP29" s="119"/>
      <c r="AY29" s="147">
        <f t="shared" si="7"/>
        <v>15655775.449999999</v>
      </c>
      <c r="AZ29" s="3">
        <v>15655775.449999999</v>
      </c>
      <c r="BA29" s="190">
        <f t="shared" si="8"/>
        <v>0</v>
      </c>
    </row>
    <row r="30" spans="1:53" ht="110.1" customHeight="1" x14ac:dyDescent="0.25">
      <c r="A30" s="203"/>
      <c r="B30" s="212"/>
      <c r="C30" s="174">
        <f t="shared" si="9"/>
        <v>25</v>
      </c>
      <c r="D30" s="89" t="s">
        <v>176</v>
      </c>
      <c r="E30" s="184">
        <v>0</v>
      </c>
      <c r="F30" s="114" t="e">
        <f t="shared" si="1"/>
        <v>#DIV/0!</v>
      </c>
      <c r="G30" s="114" t="e">
        <f t="shared" si="2"/>
        <v>#DIV/0!</v>
      </c>
      <c r="H30" s="114" t="e">
        <f t="shared" si="10"/>
        <v>#DIV/0!</v>
      </c>
      <c r="I30" s="114">
        <f t="shared" si="3"/>
        <v>3004417</v>
      </c>
      <c r="J30" s="114">
        <f t="shared" si="11"/>
        <v>3004417</v>
      </c>
      <c r="K30" s="114">
        <f t="shared" si="0"/>
        <v>3004417</v>
      </c>
      <c r="L30" s="115"/>
      <c r="M30" s="115"/>
      <c r="N30" s="115"/>
      <c r="O30" s="115"/>
      <c r="P30" s="116">
        <f t="shared" si="4"/>
        <v>3004417</v>
      </c>
      <c r="Q30" s="116"/>
      <c r="R30" s="117">
        <f t="shared" si="5"/>
        <v>3004417</v>
      </c>
      <c r="S30" s="117"/>
      <c r="T30" s="117">
        <f t="shared" si="6"/>
        <v>3004417</v>
      </c>
      <c r="U30" s="105"/>
      <c r="V30" s="105"/>
      <c r="W30" s="118">
        <v>3004417</v>
      </c>
      <c r="X30" s="118">
        <v>3004417</v>
      </c>
      <c r="Y30" s="118">
        <v>3004417</v>
      </c>
      <c r="Z30" s="118"/>
      <c r="AA30" s="118"/>
      <c r="AB30" s="118"/>
      <c r="AC30" s="118"/>
      <c r="AD30" s="118"/>
      <c r="AE30" s="118"/>
      <c r="AF30" s="118"/>
      <c r="AG30" s="119">
        <v>0</v>
      </c>
      <c r="AH30" s="119">
        <v>0</v>
      </c>
      <c r="AI30" s="119">
        <v>0</v>
      </c>
      <c r="AJ30" s="110"/>
      <c r="AK30" s="111"/>
      <c r="AL30" s="111"/>
      <c r="AM30" s="119"/>
      <c r="AN30" s="119"/>
      <c r="AO30" s="119"/>
      <c r="AP30" s="119"/>
      <c r="AY30" s="147">
        <f t="shared" si="7"/>
        <v>11973550.039999999</v>
      </c>
      <c r="AZ30" s="3">
        <v>11973550.039999999</v>
      </c>
      <c r="BA30" s="190">
        <f t="shared" si="8"/>
        <v>0</v>
      </c>
    </row>
    <row r="31" spans="1:53" ht="110.1" customHeight="1" x14ac:dyDescent="0.25">
      <c r="A31" s="203"/>
      <c r="B31" s="212"/>
      <c r="C31" s="174">
        <f t="shared" si="9"/>
        <v>26</v>
      </c>
      <c r="D31" s="89" t="s">
        <v>12</v>
      </c>
      <c r="E31" s="184">
        <v>177</v>
      </c>
      <c r="F31" s="114">
        <f t="shared" si="1"/>
        <v>112428.16384180791</v>
      </c>
      <c r="G31" s="114">
        <f t="shared" si="2"/>
        <v>112428.16384180791</v>
      </c>
      <c r="H31" s="114">
        <f t="shared" si="10"/>
        <v>112428.16384180791</v>
      </c>
      <c r="I31" s="114">
        <f t="shared" si="3"/>
        <v>19899785</v>
      </c>
      <c r="J31" s="114">
        <f t="shared" si="11"/>
        <v>19899785</v>
      </c>
      <c r="K31" s="114">
        <f t="shared" si="0"/>
        <v>19899785</v>
      </c>
      <c r="L31" s="115"/>
      <c r="M31" s="115"/>
      <c r="N31" s="115"/>
      <c r="O31" s="115"/>
      <c r="P31" s="116">
        <f t="shared" si="4"/>
        <v>19899785</v>
      </c>
      <c r="Q31" s="116"/>
      <c r="R31" s="117">
        <f t="shared" si="5"/>
        <v>19899785</v>
      </c>
      <c r="S31" s="117"/>
      <c r="T31" s="117">
        <f t="shared" si="6"/>
        <v>19899785</v>
      </c>
      <c r="U31" s="105"/>
      <c r="V31" s="105"/>
      <c r="W31" s="118">
        <v>19622338</v>
      </c>
      <c r="X31" s="118">
        <v>19622338</v>
      </c>
      <c r="Y31" s="118">
        <v>19622338</v>
      </c>
      <c r="Z31" s="118"/>
      <c r="AA31" s="118"/>
      <c r="AB31" s="118"/>
      <c r="AC31" s="118"/>
      <c r="AD31" s="118"/>
      <c r="AE31" s="118"/>
      <c r="AF31" s="118"/>
      <c r="AG31" s="119">
        <v>277447</v>
      </c>
      <c r="AH31" s="119">
        <v>277447</v>
      </c>
      <c r="AI31" s="119">
        <v>277447</v>
      </c>
      <c r="AJ31" s="110"/>
      <c r="AK31" s="111"/>
      <c r="AL31" s="111"/>
      <c r="AM31" s="119"/>
      <c r="AN31" s="119"/>
      <c r="AO31" s="119"/>
      <c r="AP31" s="119"/>
      <c r="AY31" s="147">
        <f t="shared" si="7"/>
        <v>27165356.109999999</v>
      </c>
      <c r="AZ31" s="3">
        <v>27165356.109999999</v>
      </c>
      <c r="BA31" s="190">
        <f t="shared" si="8"/>
        <v>0</v>
      </c>
    </row>
    <row r="32" spans="1:53" ht="110.1" customHeight="1" x14ac:dyDescent="0.25">
      <c r="A32" s="203"/>
      <c r="B32" s="212"/>
      <c r="C32" s="174">
        <f t="shared" si="9"/>
        <v>27</v>
      </c>
      <c r="D32" s="89" t="s">
        <v>220</v>
      </c>
      <c r="E32" s="184">
        <v>155</v>
      </c>
      <c r="F32" s="114">
        <f t="shared" si="1"/>
        <v>129327.09032258064</v>
      </c>
      <c r="G32" s="114">
        <f t="shared" si="2"/>
        <v>129327.09032258064</v>
      </c>
      <c r="H32" s="114">
        <f t="shared" si="10"/>
        <v>129327.09032258064</v>
      </c>
      <c r="I32" s="114">
        <f t="shared" si="3"/>
        <v>20045699</v>
      </c>
      <c r="J32" s="114">
        <f t="shared" si="11"/>
        <v>20045699</v>
      </c>
      <c r="K32" s="114">
        <f t="shared" si="0"/>
        <v>20045699</v>
      </c>
      <c r="L32" s="115"/>
      <c r="M32" s="115"/>
      <c r="N32" s="115"/>
      <c r="O32" s="115"/>
      <c r="P32" s="116">
        <f t="shared" si="4"/>
        <v>20045699</v>
      </c>
      <c r="Q32" s="116"/>
      <c r="R32" s="117">
        <f t="shared" si="5"/>
        <v>20045699</v>
      </c>
      <c r="S32" s="117"/>
      <c r="T32" s="117">
        <f t="shared" si="6"/>
        <v>20045699</v>
      </c>
      <c r="U32" s="105"/>
      <c r="V32" s="105"/>
      <c r="W32" s="118">
        <v>19802739</v>
      </c>
      <c r="X32" s="118">
        <v>19802739</v>
      </c>
      <c r="Y32" s="118">
        <v>19802739</v>
      </c>
      <c r="Z32" s="118"/>
      <c r="AA32" s="118"/>
      <c r="AB32" s="118"/>
      <c r="AC32" s="118"/>
      <c r="AD32" s="118"/>
      <c r="AE32" s="118"/>
      <c r="AF32" s="118"/>
      <c r="AG32" s="119">
        <v>242960</v>
      </c>
      <c r="AH32" s="119">
        <v>242960</v>
      </c>
      <c r="AI32" s="119">
        <v>242960</v>
      </c>
      <c r="AJ32" s="110"/>
      <c r="AK32" s="111"/>
      <c r="AL32" s="111"/>
      <c r="AM32" s="119"/>
      <c r="AN32" s="119"/>
      <c r="AO32" s="119"/>
      <c r="AP32" s="119"/>
      <c r="AY32" s="147">
        <f t="shared" si="7"/>
        <v>27634163.829999998</v>
      </c>
      <c r="AZ32" s="3">
        <v>27634163.829999998</v>
      </c>
      <c r="BA32" s="190">
        <f t="shared" si="8"/>
        <v>0</v>
      </c>
    </row>
    <row r="33" spans="1:53" ht="110.1" customHeight="1" x14ac:dyDescent="0.25">
      <c r="A33" s="203"/>
      <c r="B33" s="212"/>
      <c r="C33" s="174">
        <f t="shared" si="9"/>
        <v>28</v>
      </c>
      <c r="D33" s="89" t="s">
        <v>88</v>
      </c>
      <c r="E33" s="184">
        <v>153</v>
      </c>
      <c r="F33" s="114">
        <f t="shared" si="1"/>
        <v>94585.091503267977</v>
      </c>
      <c r="G33" s="114">
        <f t="shared" si="2"/>
        <v>94585.091503267977</v>
      </c>
      <c r="H33" s="114">
        <f t="shared" si="10"/>
        <v>94585.091503267977</v>
      </c>
      <c r="I33" s="114">
        <f t="shared" si="3"/>
        <v>14471519</v>
      </c>
      <c r="J33" s="114">
        <f t="shared" si="11"/>
        <v>14471519</v>
      </c>
      <c r="K33" s="114">
        <f t="shared" si="0"/>
        <v>14471519</v>
      </c>
      <c r="L33" s="115"/>
      <c r="M33" s="115"/>
      <c r="N33" s="115"/>
      <c r="O33" s="115"/>
      <c r="P33" s="116">
        <f t="shared" si="4"/>
        <v>14471519</v>
      </c>
      <c r="Q33" s="116"/>
      <c r="R33" s="117">
        <f t="shared" si="5"/>
        <v>14471519</v>
      </c>
      <c r="S33" s="117"/>
      <c r="T33" s="117">
        <f t="shared" si="6"/>
        <v>14471519</v>
      </c>
      <c r="U33" s="105"/>
      <c r="V33" s="105"/>
      <c r="W33" s="118">
        <v>14231692</v>
      </c>
      <c r="X33" s="118">
        <v>14231692</v>
      </c>
      <c r="Y33" s="118">
        <v>14231692</v>
      </c>
      <c r="Z33" s="118"/>
      <c r="AA33" s="118"/>
      <c r="AB33" s="118"/>
      <c r="AC33" s="118"/>
      <c r="AD33" s="118"/>
      <c r="AE33" s="118"/>
      <c r="AF33" s="118"/>
      <c r="AG33" s="119">
        <v>239827</v>
      </c>
      <c r="AH33" s="119">
        <v>239827</v>
      </c>
      <c r="AI33" s="119">
        <v>239827</v>
      </c>
      <c r="AJ33" s="110"/>
      <c r="AK33" s="111"/>
      <c r="AL33" s="111"/>
      <c r="AM33" s="119"/>
      <c r="AN33" s="119"/>
      <c r="AO33" s="119"/>
      <c r="AP33" s="119"/>
      <c r="AY33" s="147">
        <f t="shared" si="7"/>
        <v>19891896.300000001</v>
      </c>
      <c r="AZ33" s="3">
        <v>19891896.300000001</v>
      </c>
      <c r="BA33" s="190">
        <f t="shared" si="8"/>
        <v>0</v>
      </c>
    </row>
    <row r="34" spans="1:53" ht="110.1" customHeight="1" x14ac:dyDescent="0.25">
      <c r="A34" s="203"/>
      <c r="B34" s="212"/>
      <c r="C34" s="174">
        <f t="shared" si="9"/>
        <v>29</v>
      </c>
      <c r="D34" s="89" t="s">
        <v>89</v>
      </c>
      <c r="E34" s="184">
        <v>265</v>
      </c>
      <c r="F34" s="114">
        <f t="shared" si="1"/>
        <v>86217.743396226419</v>
      </c>
      <c r="G34" s="114">
        <f t="shared" si="2"/>
        <v>86217.743396226419</v>
      </c>
      <c r="H34" s="114">
        <f t="shared" si="10"/>
        <v>86217.743396226419</v>
      </c>
      <c r="I34" s="114">
        <f t="shared" si="3"/>
        <v>22847702</v>
      </c>
      <c r="J34" s="114">
        <f t="shared" si="11"/>
        <v>22847702</v>
      </c>
      <c r="K34" s="114">
        <f t="shared" si="0"/>
        <v>22847702</v>
      </c>
      <c r="L34" s="115"/>
      <c r="M34" s="115"/>
      <c r="N34" s="115"/>
      <c r="O34" s="115"/>
      <c r="P34" s="116">
        <f t="shared" si="4"/>
        <v>22847702</v>
      </c>
      <c r="Q34" s="116"/>
      <c r="R34" s="117">
        <f t="shared" si="5"/>
        <v>22847702</v>
      </c>
      <c r="S34" s="117"/>
      <c r="T34" s="117">
        <f t="shared" si="6"/>
        <v>22847702</v>
      </c>
      <c r="U34" s="105"/>
      <c r="V34" s="105"/>
      <c r="W34" s="118">
        <v>22432315</v>
      </c>
      <c r="X34" s="118">
        <v>22432315</v>
      </c>
      <c r="Y34" s="118">
        <v>22432315</v>
      </c>
      <c r="Z34" s="118"/>
      <c r="AA34" s="118"/>
      <c r="AB34" s="118"/>
      <c r="AC34" s="118"/>
      <c r="AD34" s="118"/>
      <c r="AE34" s="118"/>
      <c r="AF34" s="118"/>
      <c r="AG34" s="119">
        <v>415387</v>
      </c>
      <c r="AH34" s="119">
        <v>415387</v>
      </c>
      <c r="AI34" s="119">
        <v>415387</v>
      </c>
      <c r="AJ34" s="110"/>
      <c r="AK34" s="111"/>
      <c r="AL34" s="111"/>
      <c r="AM34" s="119"/>
      <c r="AN34" s="119"/>
      <c r="AO34" s="119"/>
      <c r="AP34" s="119"/>
      <c r="AY34" s="147">
        <f t="shared" si="7"/>
        <v>29881150.25</v>
      </c>
      <c r="AZ34" s="3">
        <v>29881150.25</v>
      </c>
      <c r="BA34" s="190">
        <f t="shared" si="8"/>
        <v>0</v>
      </c>
    </row>
    <row r="35" spans="1:53" ht="110.1" customHeight="1" x14ac:dyDescent="0.25">
      <c r="A35" s="203"/>
      <c r="B35" s="212"/>
      <c r="C35" s="174">
        <f t="shared" si="9"/>
        <v>30</v>
      </c>
      <c r="D35" s="89" t="s">
        <v>90</v>
      </c>
      <c r="E35" s="184">
        <v>80</v>
      </c>
      <c r="F35" s="114">
        <f t="shared" si="1"/>
        <v>107283.27499999999</v>
      </c>
      <c r="G35" s="114">
        <f t="shared" si="2"/>
        <v>107283.27499999999</v>
      </c>
      <c r="H35" s="114">
        <f t="shared" si="10"/>
        <v>107283.27499999999</v>
      </c>
      <c r="I35" s="114">
        <f t="shared" si="3"/>
        <v>8582662</v>
      </c>
      <c r="J35" s="114">
        <f t="shared" si="11"/>
        <v>8582662</v>
      </c>
      <c r="K35" s="114">
        <f t="shared" si="0"/>
        <v>8582662</v>
      </c>
      <c r="L35" s="115"/>
      <c r="M35" s="115"/>
      <c r="N35" s="115"/>
      <c r="O35" s="115"/>
      <c r="P35" s="116">
        <f t="shared" si="4"/>
        <v>8582662</v>
      </c>
      <c r="Q35" s="116"/>
      <c r="R35" s="117">
        <f t="shared" si="5"/>
        <v>8582662</v>
      </c>
      <c r="S35" s="117"/>
      <c r="T35" s="117">
        <f t="shared" si="6"/>
        <v>8582662</v>
      </c>
      <c r="U35" s="105"/>
      <c r="V35" s="105"/>
      <c r="W35" s="118">
        <v>8457262</v>
      </c>
      <c r="X35" s="118">
        <v>8457262</v>
      </c>
      <c r="Y35" s="118">
        <v>8457262</v>
      </c>
      <c r="Z35" s="118"/>
      <c r="AA35" s="118"/>
      <c r="AB35" s="118"/>
      <c r="AC35" s="118"/>
      <c r="AD35" s="118"/>
      <c r="AE35" s="118"/>
      <c r="AF35" s="118"/>
      <c r="AG35" s="119">
        <v>125400</v>
      </c>
      <c r="AH35" s="119">
        <v>125400</v>
      </c>
      <c r="AI35" s="119">
        <v>125400</v>
      </c>
      <c r="AJ35" s="110"/>
      <c r="AK35" s="111"/>
      <c r="AL35" s="111"/>
      <c r="AM35" s="119"/>
      <c r="AN35" s="119"/>
      <c r="AO35" s="119"/>
      <c r="AP35" s="119"/>
      <c r="AY35" s="147">
        <f t="shared" si="7"/>
        <v>14074746.67</v>
      </c>
      <c r="AZ35" s="3">
        <v>14074746.67</v>
      </c>
      <c r="BA35" s="190">
        <f t="shared" si="8"/>
        <v>0</v>
      </c>
    </row>
    <row r="36" spans="1:53" ht="110.1" customHeight="1" x14ac:dyDescent="0.25">
      <c r="A36" s="203"/>
      <c r="B36" s="212"/>
      <c r="C36" s="174">
        <f t="shared" si="9"/>
        <v>31</v>
      </c>
      <c r="D36" s="89" t="s">
        <v>91</v>
      </c>
      <c r="E36" s="184">
        <v>179</v>
      </c>
      <c r="F36" s="114">
        <f t="shared" si="1"/>
        <v>83023.441340782127</v>
      </c>
      <c r="G36" s="114">
        <f t="shared" si="2"/>
        <v>83023.441340782127</v>
      </c>
      <c r="H36" s="114">
        <f t="shared" si="10"/>
        <v>83023.441340782127</v>
      </c>
      <c r="I36" s="114">
        <f t="shared" si="3"/>
        <v>14861196</v>
      </c>
      <c r="J36" s="114">
        <f t="shared" si="11"/>
        <v>14861196</v>
      </c>
      <c r="K36" s="114">
        <f t="shared" si="0"/>
        <v>14861196</v>
      </c>
      <c r="L36" s="115"/>
      <c r="M36" s="115"/>
      <c r="N36" s="115"/>
      <c r="O36" s="115"/>
      <c r="P36" s="116">
        <f t="shared" si="4"/>
        <v>14861196</v>
      </c>
      <c r="Q36" s="116"/>
      <c r="R36" s="117">
        <f t="shared" si="5"/>
        <v>14861196</v>
      </c>
      <c r="S36" s="117"/>
      <c r="T36" s="117">
        <f t="shared" si="6"/>
        <v>14861196</v>
      </c>
      <c r="U36" s="105"/>
      <c r="V36" s="105"/>
      <c r="W36" s="118">
        <v>14580616</v>
      </c>
      <c r="X36" s="118">
        <v>14580616</v>
      </c>
      <c r="Y36" s="118">
        <v>14580616</v>
      </c>
      <c r="Z36" s="118"/>
      <c r="AA36" s="118"/>
      <c r="AB36" s="118"/>
      <c r="AC36" s="118"/>
      <c r="AD36" s="118"/>
      <c r="AE36" s="118"/>
      <c r="AF36" s="118"/>
      <c r="AG36" s="119">
        <v>280580</v>
      </c>
      <c r="AH36" s="119">
        <v>280580</v>
      </c>
      <c r="AI36" s="119">
        <v>280580</v>
      </c>
      <c r="AJ36" s="110"/>
      <c r="AK36" s="111"/>
      <c r="AL36" s="111"/>
      <c r="AM36" s="119"/>
      <c r="AN36" s="119"/>
      <c r="AO36" s="119"/>
      <c r="AP36" s="119"/>
      <c r="AY36" s="147">
        <f t="shared" si="7"/>
        <v>21303165.199999999</v>
      </c>
      <c r="AZ36" s="3">
        <v>21303165.199999999</v>
      </c>
      <c r="BA36" s="190">
        <f t="shared" si="8"/>
        <v>0</v>
      </c>
    </row>
    <row r="37" spans="1:53" ht="110.1" customHeight="1" x14ac:dyDescent="0.25">
      <c r="A37" s="203"/>
      <c r="B37" s="212"/>
      <c r="C37" s="174">
        <f t="shared" si="9"/>
        <v>32</v>
      </c>
      <c r="D37" s="89" t="s">
        <v>92</v>
      </c>
      <c r="E37" s="184">
        <v>115</v>
      </c>
      <c r="F37" s="114">
        <f t="shared" si="1"/>
        <v>117787.51304347826</v>
      </c>
      <c r="G37" s="114">
        <f t="shared" si="2"/>
        <v>117787.51304347826</v>
      </c>
      <c r="H37" s="114">
        <f t="shared" si="10"/>
        <v>117787.51304347826</v>
      </c>
      <c r="I37" s="114">
        <f t="shared" si="3"/>
        <v>13545564</v>
      </c>
      <c r="J37" s="114">
        <f t="shared" si="11"/>
        <v>13545564</v>
      </c>
      <c r="K37" s="114">
        <f t="shared" si="0"/>
        <v>13545564</v>
      </c>
      <c r="L37" s="115"/>
      <c r="M37" s="115"/>
      <c r="N37" s="115"/>
      <c r="O37" s="115"/>
      <c r="P37" s="116">
        <f t="shared" si="4"/>
        <v>13545564</v>
      </c>
      <c r="Q37" s="116"/>
      <c r="R37" s="117">
        <f t="shared" si="5"/>
        <v>13545564</v>
      </c>
      <c r="S37" s="117"/>
      <c r="T37" s="117">
        <f t="shared" si="6"/>
        <v>13545564</v>
      </c>
      <c r="U37" s="105"/>
      <c r="V37" s="105"/>
      <c r="W37" s="118">
        <v>13365304</v>
      </c>
      <c r="X37" s="118">
        <v>13365304</v>
      </c>
      <c r="Y37" s="118">
        <v>13365304</v>
      </c>
      <c r="Z37" s="118"/>
      <c r="AA37" s="118"/>
      <c r="AB37" s="118"/>
      <c r="AC37" s="118"/>
      <c r="AD37" s="118"/>
      <c r="AE37" s="118"/>
      <c r="AF37" s="118"/>
      <c r="AG37" s="119">
        <v>180260</v>
      </c>
      <c r="AH37" s="119">
        <v>180260</v>
      </c>
      <c r="AI37" s="119">
        <v>180260</v>
      </c>
      <c r="AJ37" s="110"/>
      <c r="AK37" s="111"/>
      <c r="AL37" s="111"/>
      <c r="AM37" s="119"/>
      <c r="AN37" s="119"/>
      <c r="AO37" s="119"/>
      <c r="AP37" s="119"/>
      <c r="AY37" s="147">
        <f t="shared" si="7"/>
        <v>17897810.43</v>
      </c>
      <c r="AZ37" s="3">
        <v>17897810.43</v>
      </c>
      <c r="BA37" s="190">
        <f t="shared" si="8"/>
        <v>0</v>
      </c>
    </row>
    <row r="38" spans="1:53" ht="110.1" customHeight="1" x14ac:dyDescent="0.25">
      <c r="A38" s="203"/>
      <c r="B38" s="212"/>
      <c r="C38" s="174">
        <f t="shared" si="9"/>
        <v>33</v>
      </c>
      <c r="D38" s="89" t="s">
        <v>221</v>
      </c>
      <c r="E38" s="184">
        <v>263</v>
      </c>
      <c r="F38" s="114">
        <f t="shared" ref="F38:F69" si="12">I38/E38</f>
        <v>101947.43726235742</v>
      </c>
      <c r="G38" s="114">
        <f t="shared" si="2"/>
        <v>101947.43726235742</v>
      </c>
      <c r="H38" s="114">
        <f t="shared" si="10"/>
        <v>101947.43726235742</v>
      </c>
      <c r="I38" s="114">
        <f t="shared" si="3"/>
        <v>26812176</v>
      </c>
      <c r="J38" s="114">
        <f t="shared" si="11"/>
        <v>26812176</v>
      </c>
      <c r="K38" s="114">
        <f t="shared" ref="K38:K73" si="13">T38-O38</f>
        <v>26812176</v>
      </c>
      <c r="L38" s="115"/>
      <c r="M38" s="115"/>
      <c r="N38" s="115"/>
      <c r="O38" s="115"/>
      <c r="P38" s="116">
        <f t="shared" si="4"/>
        <v>26812176</v>
      </c>
      <c r="Q38" s="116"/>
      <c r="R38" s="117">
        <f t="shared" si="5"/>
        <v>26812176</v>
      </c>
      <c r="S38" s="117"/>
      <c r="T38" s="117">
        <f t="shared" si="6"/>
        <v>26812176</v>
      </c>
      <c r="U38" s="105"/>
      <c r="V38" s="105"/>
      <c r="W38" s="118">
        <v>26399926</v>
      </c>
      <c r="X38" s="118">
        <v>26399926</v>
      </c>
      <c r="Y38" s="118">
        <v>26399926</v>
      </c>
      <c r="Z38" s="118"/>
      <c r="AA38" s="118"/>
      <c r="AB38" s="118"/>
      <c r="AC38" s="118"/>
      <c r="AD38" s="118"/>
      <c r="AE38" s="118"/>
      <c r="AF38" s="118"/>
      <c r="AG38" s="119">
        <v>412250</v>
      </c>
      <c r="AH38" s="119">
        <v>412250</v>
      </c>
      <c r="AI38" s="119">
        <v>412250</v>
      </c>
      <c r="AJ38" s="110"/>
      <c r="AK38" s="111"/>
      <c r="AL38" s="111"/>
      <c r="AM38" s="119"/>
      <c r="AN38" s="119"/>
      <c r="AO38" s="119"/>
      <c r="AP38" s="119"/>
      <c r="AY38" s="147">
        <f t="shared" si="7"/>
        <v>37209627.649999999</v>
      </c>
      <c r="AZ38" s="3">
        <v>37209627.649999999</v>
      </c>
      <c r="BA38" s="190">
        <f t="shared" si="8"/>
        <v>0</v>
      </c>
    </row>
    <row r="39" spans="1:53" ht="110.1" customHeight="1" x14ac:dyDescent="0.25">
      <c r="A39" s="203"/>
      <c r="B39" s="212"/>
      <c r="C39" s="174">
        <f t="shared" si="9"/>
        <v>34</v>
      </c>
      <c r="D39" s="89" t="s">
        <v>94</v>
      </c>
      <c r="E39" s="184">
        <v>131</v>
      </c>
      <c r="F39" s="114">
        <f t="shared" si="12"/>
        <v>110600.24427480916</v>
      </c>
      <c r="G39" s="114">
        <f t="shared" si="2"/>
        <v>110600.24427480916</v>
      </c>
      <c r="H39" s="114">
        <f t="shared" si="10"/>
        <v>110600.24427480916</v>
      </c>
      <c r="I39" s="114">
        <f t="shared" si="3"/>
        <v>14488632</v>
      </c>
      <c r="J39" s="114">
        <f t="shared" si="11"/>
        <v>14488632</v>
      </c>
      <c r="K39" s="114">
        <f t="shared" si="13"/>
        <v>14488632</v>
      </c>
      <c r="L39" s="115"/>
      <c r="M39" s="115"/>
      <c r="N39" s="115"/>
      <c r="O39" s="115"/>
      <c r="P39" s="116">
        <f t="shared" si="4"/>
        <v>14488632</v>
      </c>
      <c r="Q39" s="116"/>
      <c r="R39" s="117">
        <f t="shared" si="5"/>
        <v>14488632</v>
      </c>
      <c r="S39" s="117"/>
      <c r="T39" s="117">
        <f t="shared" si="6"/>
        <v>14488632</v>
      </c>
      <c r="U39" s="105"/>
      <c r="V39" s="105"/>
      <c r="W39" s="118">
        <v>14283292</v>
      </c>
      <c r="X39" s="118">
        <v>14283292</v>
      </c>
      <c r="Y39" s="118">
        <v>14283292</v>
      </c>
      <c r="Z39" s="118"/>
      <c r="AA39" s="118"/>
      <c r="AB39" s="118"/>
      <c r="AC39" s="118"/>
      <c r="AD39" s="118"/>
      <c r="AE39" s="118"/>
      <c r="AF39" s="118"/>
      <c r="AG39" s="119">
        <v>205340</v>
      </c>
      <c r="AH39" s="119">
        <v>205340</v>
      </c>
      <c r="AI39" s="119">
        <v>205340</v>
      </c>
      <c r="AJ39" s="110"/>
      <c r="AK39" s="111"/>
      <c r="AL39" s="111"/>
      <c r="AM39" s="119"/>
      <c r="AN39" s="119"/>
      <c r="AO39" s="119"/>
      <c r="AP39" s="119"/>
      <c r="AY39" s="147">
        <f t="shared" si="7"/>
        <v>19693174.629999999</v>
      </c>
      <c r="AZ39" s="3">
        <v>19693174.629999999</v>
      </c>
      <c r="BA39" s="190">
        <f t="shared" si="8"/>
        <v>0</v>
      </c>
    </row>
    <row r="40" spans="1:53" ht="110.1" customHeight="1" x14ac:dyDescent="0.25">
      <c r="A40" s="203"/>
      <c r="B40" s="212"/>
      <c r="C40" s="174">
        <f t="shared" si="9"/>
        <v>35</v>
      </c>
      <c r="D40" s="89" t="s">
        <v>222</v>
      </c>
      <c r="E40" s="184">
        <v>80</v>
      </c>
      <c r="F40" s="114">
        <f t="shared" si="12"/>
        <v>110669.9</v>
      </c>
      <c r="G40" s="114">
        <f t="shared" si="2"/>
        <v>110669.9</v>
      </c>
      <c r="H40" s="114">
        <f t="shared" si="10"/>
        <v>110669.9</v>
      </c>
      <c r="I40" s="114">
        <f t="shared" si="3"/>
        <v>8853592</v>
      </c>
      <c r="J40" s="114">
        <f t="shared" si="11"/>
        <v>8853592</v>
      </c>
      <c r="K40" s="114">
        <f t="shared" si="13"/>
        <v>8853592</v>
      </c>
      <c r="L40" s="115"/>
      <c r="M40" s="115"/>
      <c r="N40" s="115"/>
      <c r="O40" s="115"/>
      <c r="P40" s="116">
        <f t="shared" si="4"/>
        <v>8853592</v>
      </c>
      <c r="Q40" s="116"/>
      <c r="R40" s="117">
        <f t="shared" si="5"/>
        <v>8853592</v>
      </c>
      <c r="S40" s="117"/>
      <c r="T40" s="117">
        <f t="shared" si="6"/>
        <v>8853592</v>
      </c>
      <c r="U40" s="105"/>
      <c r="V40" s="105"/>
      <c r="W40" s="118">
        <v>8728192</v>
      </c>
      <c r="X40" s="118">
        <v>8728192</v>
      </c>
      <c r="Y40" s="118">
        <v>8728192</v>
      </c>
      <c r="Z40" s="118"/>
      <c r="AA40" s="118"/>
      <c r="AB40" s="118"/>
      <c r="AC40" s="118"/>
      <c r="AD40" s="118"/>
      <c r="AE40" s="118"/>
      <c r="AF40" s="118"/>
      <c r="AG40" s="119">
        <v>125400</v>
      </c>
      <c r="AH40" s="119">
        <v>125400</v>
      </c>
      <c r="AI40" s="119">
        <v>125400</v>
      </c>
      <c r="AJ40" s="110"/>
      <c r="AK40" s="111"/>
      <c r="AL40" s="111"/>
      <c r="AM40" s="119"/>
      <c r="AN40" s="119"/>
      <c r="AO40" s="119"/>
      <c r="AP40" s="119"/>
      <c r="AY40" s="147">
        <f t="shared" si="7"/>
        <v>13064667.530000001</v>
      </c>
      <c r="AZ40" s="3">
        <v>13064667.529999999</v>
      </c>
      <c r="BA40" s="190">
        <f t="shared" si="8"/>
        <v>0</v>
      </c>
    </row>
    <row r="41" spans="1:53" ht="110.1" customHeight="1" x14ac:dyDescent="0.25">
      <c r="A41" s="203"/>
      <c r="B41" s="212"/>
      <c r="C41" s="174">
        <f t="shared" si="9"/>
        <v>36</v>
      </c>
      <c r="D41" s="89" t="s">
        <v>13</v>
      </c>
      <c r="E41" s="184">
        <v>102</v>
      </c>
      <c r="F41" s="114">
        <f t="shared" si="12"/>
        <v>105964.62745098039</v>
      </c>
      <c r="G41" s="114">
        <f t="shared" si="2"/>
        <v>105964.62745098039</v>
      </c>
      <c r="H41" s="114">
        <f t="shared" si="10"/>
        <v>105964.62745098039</v>
      </c>
      <c r="I41" s="114">
        <f t="shared" si="3"/>
        <v>10808392</v>
      </c>
      <c r="J41" s="114">
        <f t="shared" si="11"/>
        <v>10808392</v>
      </c>
      <c r="K41" s="114">
        <f t="shared" si="13"/>
        <v>10808392</v>
      </c>
      <c r="L41" s="115"/>
      <c r="M41" s="115"/>
      <c r="N41" s="115"/>
      <c r="O41" s="115"/>
      <c r="P41" s="116">
        <f t="shared" si="4"/>
        <v>10808392</v>
      </c>
      <c r="Q41" s="116"/>
      <c r="R41" s="117">
        <f t="shared" si="5"/>
        <v>10808392</v>
      </c>
      <c r="S41" s="117"/>
      <c r="T41" s="117">
        <f t="shared" si="6"/>
        <v>10808392</v>
      </c>
      <c r="U41" s="105"/>
      <c r="V41" s="105"/>
      <c r="W41" s="118">
        <v>10648512</v>
      </c>
      <c r="X41" s="118">
        <v>10648512</v>
      </c>
      <c r="Y41" s="118">
        <v>10648512</v>
      </c>
      <c r="Z41" s="118"/>
      <c r="AA41" s="118"/>
      <c r="AB41" s="118"/>
      <c r="AC41" s="118"/>
      <c r="AD41" s="118"/>
      <c r="AE41" s="118"/>
      <c r="AF41" s="118"/>
      <c r="AG41" s="119">
        <v>159880</v>
      </c>
      <c r="AH41" s="119">
        <v>159880</v>
      </c>
      <c r="AI41" s="119">
        <v>159880</v>
      </c>
      <c r="AJ41" s="110"/>
      <c r="AK41" s="111"/>
      <c r="AL41" s="111"/>
      <c r="AM41" s="119"/>
      <c r="AN41" s="119"/>
      <c r="AO41" s="119"/>
      <c r="AP41" s="119"/>
      <c r="AY41" s="147">
        <f t="shared" si="7"/>
        <v>15707356.51</v>
      </c>
      <c r="AZ41" s="3">
        <v>15707356.51</v>
      </c>
      <c r="BA41" s="190">
        <f t="shared" si="8"/>
        <v>0</v>
      </c>
    </row>
    <row r="42" spans="1:53" ht="110.1" customHeight="1" x14ac:dyDescent="0.25">
      <c r="A42" s="203"/>
      <c r="B42" s="212"/>
      <c r="C42" s="174">
        <f t="shared" si="9"/>
        <v>37</v>
      </c>
      <c r="D42" s="89" t="s">
        <v>96</v>
      </c>
      <c r="E42" s="184">
        <v>238</v>
      </c>
      <c r="F42" s="114">
        <f t="shared" si="12"/>
        <v>118265.66386554622</v>
      </c>
      <c r="G42" s="114">
        <f t="shared" si="2"/>
        <v>118265.66386554622</v>
      </c>
      <c r="H42" s="114">
        <f t="shared" si="10"/>
        <v>118265.66386554622</v>
      </c>
      <c r="I42" s="114">
        <f t="shared" si="3"/>
        <v>28147228</v>
      </c>
      <c r="J42" s="114">
        <f t="shared" si="11"/>
        <v>28147228</v>
      </c>
      <c r="K42" s="114">
        <f t="shared" si="13"/>
        <v>28147228</v>
      </c>
      <c r="L42" s="115"/>
      <c r="M42" s="115"/>
      <c r="N42" s="115"/>
      <c r="O42" s="115"/>
      <c r="P42" s="116">
        <f t="shared" si="4"/>
        <v>28147228</v>
      </c>
      <c r="Q42" s="116"/>
      <c r="R42" s="117">
        <f t="shared" si="5"/>
        <v>28147228</v>
      </c>
      <c r="S42" s="117"/>
      <c r="T42" s="117">
        <f t="shared" si="6"/>
        <v>28147228</v>
      </c>
      <c r="U42" s="105"/>
      <c r="V42" s="105"/>
      <c r="W42" s="118">
        <v>27774168</v>
      </c>
      <c r="X42" s="118">
        <v>27774168</v>
      </c>
      <c r="Y42" s="118">
        <v>27774168</v>
      </c>
      <c r="Z42" s="118"/>
      <c r="AA42" s="118"/>
      <c r="AB42" s="118"/>
      <c r="AC42" s="118"/>
      <c r="AD42" s="118"/>
      <c r="AE42" s="118"/>
      <c r="AF42" s="118"/>
      <c r="AG42" s="119">
        <v>373060</v>
      </c>
      <c r="AH42" s="119">
        <v>373060</v>
      </c>
      <c r="AI42" s="119">
        <v>373060</v>
      </c>
      <c r="AJ42" s="110"/>
      <c r="AK42" s="111"/>
      <c r="AL42" s="111"/>
      <c r="AM42" s="119"/>
      <c r="AN42" s="119"/>
      <c r="AO42" s="119"/>
      <c r="AP42" s="119"/>
      <c r="AY42" s="147">
        <f t="shared" si="7"/>
        <v>44570787.689999998</v>
      </c>
      <c r="AZ42" s="3">
        <v>44570787.689999998</v>
      </c>
      <c r="BA42" s="190">
        <f t="shared" si="8"/>
        <v>0</v>
      </c>
    </row>
    <row r="43" spans="1:53" ht="110.1" customHeight="1" x14ac:dyDescent="0.25">
      <c r="A43" s="203"/>
      <c r="B43" s="212"/>
      <c r="C43" s="174">
        <f t="shared" si="9"/>
        <v>38</v>
      </c>
      <c r="D43" s="89" t="s">
        <v>97</v>
      </c>
      <c r="E43" s="184">
        <v>81</v>
      </c>
      <c r="F43" s="114">
        <f t="shared" si="12"/>
        <v>105079.41975308642</v>
      </c>
      <c r="G43" s="114">
        <f t="shared" si="2"/>
        <v>105079.41975308642</v>
      </c>
      <c r="H43" s="114">
        <f t="shared" si="10"/>
        <v>105079.41975308642</v>
      </c>
      <c r="I43" s="114">
        <f t="shared" si="3"/>
        <v>8511433</v>
      </c>
      <c r="J43" s="114">
        <f t="shared" si="11"/>
        <v>8511433</v>
      </c>
      <c r="K43" s="114">
        <f t="shared" si="13"/>
        <v>8511433</v>
      </c>
      <c r="L43" s="115"/>
      <c r="M43" s="115"/>
      <c r="N43" s="115"/>
      <c r="O43" s="115"/>
      <c r="P43" s="116">
        <f t="shared" si="4"/>
        <v>8511433</v>
      </c>
      <c r="Q43" s="116"/>
      <c r="R43" s="117">
        <f t="shared" si="5"/>
        <v>8511433</v>
      </c>
      <c r="S43" s="117"/>
      <c r="T43" s="117">
        <f t="shared" si="6"/>
        <v>8511433</v>
      </c>
      <c r="U43" s="105"/>
      <c r="V43" s="105"/>
      <c r="W43" s="118">
        <v>8384473</v>
      </c>
      <c r="X43" s="118">
        <v>8384473</v>
      </c>
      <c r="Y43" s="118">
        <v>8384473</v>
      </c>
      <c r="Z43" s="118"/>
      <c r="AA43" s="118"/>
      <c r="AB43" s="118"/>
      <c r="AC43" s="118"/>
      <c r="AD43" s="118"/>
      <c r="AE43" s="118"/>
      <c r="AF43" s="118"/>
      <c r="AG43" s="119">
        <v>126960</v>
      </c>
      <c r="AH43" s="119">
        <v>126960</v>
      </c>
      <c r="AI43" s="119">
        <v>126960</v>
      </c>
      <c r="AJ43" s="110"/>
      <c r="AK43" s="111"/>
      <c r="AL43" s="111"/>
      <c r="AM43" s="119"/>
      <c r="AN43" s="119"/>
      <c r="AO43" s="119"/>
      <c r="AP43" s="119"/>
      <c r="AY43" s="147">
        <f t="shared" si="7"/>
        <v>12785636.530000001</v>
      </c>
      <c r="AZ43" s="3">
        <v>12785636.529999999</v>
      </c>
      <c r="BA43" s="190">
        <f t="shared" si="8"/>
        <v>0</v>
      </c>
    </row>
    <row r="44" spans="1:53" ht="110.1" customHeight="1" x14ac:dyDescent="0.25">
      <c r="A44" s="203"/>
      <c r="B44" s="212"/>
      <c r="C44" s="174">
        <f t="shared" si="9"/>
        <v>39</v>
      </c>
      <c r="D44" s="89" t="s">
        <v>98</v>
      </c>
      <c r="E44" s="184">
        <v>66</v>
      </c>
      <c r="F44" s="114">
        <f t="shared" si="12"/>
        <v>129927.37878787878</v>
      </c>
      <c r="G44" s="114">
        <f t="shared" si="2"/>
        <v>129927.37878787878</v>
      </c>
      <c r="H44" s="114">
        <f t="shared" si="10"/>
        <v>129927.37878787878</v>
      </c>
      <c r="I44" s="114">
        <f t="shared" si="3"/>
        <v>8575207</v>
      </c>
      <c r="J44" s="114">
        <f t="shared" si="11"/>
        <v>8575207</v>
      </c>
      <c r="K44" s="114">
        <f t="shared" si="13"/>
        <v>8575207</v>
      </c>
      <c r="L44" s="115"/>
      <c r="M44" s="115"/>
      <c r="N44" s="115"/>
      <c r="O44" s="115"/>
      <c r="P44" s="116">
        <f t="shared" si="4"/>
        <v>8575207</v>
      </c>
      <c r="Q44" s="116"/>
      <c r="R44" s="117">
        <f t="shared" si="5"/>
        <v>8575207</v>
      </c>
      <c r="S44" s="117"/>
      <c r="T44" s="117">
        <f t="shared" si="6"/>
        <v>8575207</v>
      </c>
      <c r="U44" s="105"/>
      <c r="V44" s="105"/>
      <c r="W44" s="118">
        <v>8471752</v>
      </c>
      <c r="X44" s="118">
        <v>8471752</v>
      </c>
      <c r="Y44" s="118">
        <v>8471752</v>
      </c>
      <c r="Z44" s="118"/>
      <c r="AA44" s="118"/>
      <c r="AB44" s="118"/>
      <c r="AC44" s="118"/>
      <c r="AD44" s="118"/>
      <c r="AE44" s="118"/>
      <c r="AF44" s="118"/>
      <c r="AG44" s="119">
        <v>103455</v>
      </c>
      <c r="AH44" s="119">
        <v>103455</v>
      </c>
      <c r="AI44" s="119">
        <v>103455</v>
      </c>
      <c r="AJ44" s="110"/>
      <c r="AK44" s="111"/>
      <c r="AL44" s="111"/>
      <c r="AM44" s="119"/>
      <c r="AN44" s="119"/>
      <c r="AO44" s="119"/>
      <c r="AP44" s="119"/>
      <c r="AY44" s="147">
        <f t="shared" si="7"/>
        <v>12419619.51</v>
      </c>
      <c r="AZ44" s="3">
        <v>12419619.51</v>
      </c>
      <c r="BA44" s="190">
        <f t="shared" si="8"/>
        <v>0</v>
      </c>
    </row>
    <row r="45" spans="1:53" ht="110.1" customHeight="1" x14ac:dyDescent="0.25">
      <c r="A45" s="203"/>
      <c r="B45" s="212"/>
      <c r="C45" s="174">
        <f t="shared" si="9"/>
        <v>40</v>
      </c>
      <c r="D45" s="89" t="s">
        <v>99</v>
      </c>
      <c r="E45" s="184">
        <v>180</v>
      </c>
      <c r="F45" s="114">
        <f t="shared" si="12"/>
        <v>86885.872222222228</v>
      </c>
      <c r="G45" s="114">
        <f t="shared" si="2"/>
        <v>86885.872222222228</v>
      </c>
      <c r="H45" s="114">
        <f t="shared" si="10"/>
        <v>86885.872222222228</v>
      </c>
      <c r="I45" s="114">
        <f t="shared" si="3"/>
        <v>15639457</v>
      </c>
      <c r="J45" s="114">
        <f t="shared" si="11"/>
        <v>15639457</v>
      </c>
      <c r="K45" s="114">
        <f t="shared" si="13"/>
        <v>15639457</v>
      </c>
      <c r="L45" s="115"/>
      <c r="M45" s="115"/>
      <c r="N45" s="115"/>
      <c r="O45" s="115"/>
      <c r="P45" s="116">
        <f t="shared" si="4"/>
        <v>15639457</v>
      </c>
      <c r="Q45" s="116"/>
      <c r="R45" s="117">
        <f t="shared" si="5"/>
        <v>15639457</v>
      </c>
      <c r="S45" s="117"/>
      <c r="T45" s="117">
        <f t="shared" si="6"/>
        <v>15639457</v>
      </c>
      <c r="U45" s="105"/>
      <c r="V45" s="105"/>
      <c r="W45" s="118">
        <v>15357307</v>
      </c>
      <c r="X45" s="118">
        <v>15357307</v>
      </c>
      <c r="Y45" s="118">
        <v>15357307</v>
      </c>
      <c r="Z45" s="118"/>
      <c r="AA45" s="118"/>
      <c r="AB45" s="118"/>
      <c r="AC45" s="118"/>
      <c r="AD45" s="118"/>
      <c r="AE45" s="118"/>
      <c r="AF45" s="118"/>
      <c r="AG45" s="119">
        <v>282150</v>
      </c>
      <c r="AH45" s="119">
        <v>282150</v>
      </c>
      <c r="AI45" s="119">
        <v>282150</v>
      </c>
      <c r="AJ45" s="110"/>
      <c r="AK45" s="111"/>
      <c r="AL45" s="111"/>
      <c r="AM45" s="119"/>
      <c r="AN45" s="119"/>
      <c r="AO45" s="119"/>
      <c r="AP45" s="119"/>
      <c r="AY45" s="147">
        <f t="shared" si="7"/>
        <v>22850009.91</v>
      </c>
      <c r="AZ45" s="3">
        <v>22850009.91</v>
      </c>
      <c r="BA45" s="190">
        <f t="shared" si="8"/>
        <v>0</v>
      </c>
    </row>
    <row r="46" spans="1:53" ht="110.1" customHeight="1" x14ac:dyDescent="0.25">
      <c r="A46" s="203"/>
      <c r="B46" s="212"/>
      <c r="C46" s="174">
        <f t="shared" si="9"/>
        <v>41</v>
      </c>
      <c r="D46" s="89" t="s">
        <v>100</v>
      </c>
      <c r="E46" s="184">
        <v>152</v>
      </c>
      <c r="F46" s="114">
        <f t="shared" si="12"/>
        <v>104371.28947368421</v>
      </c>
      <c r="G46" s="114">
        <f t="shared" si="2"/>
        <v>104371.28947368421</v>
      </c>
      <c r="H46" s="114">
        <f t="shared" si="10"/>
        <v>104371.28947368421</v>
      </c>
      <c r="I46" s="114">
        <f t="shared" si="3"/>
        <v>15864436</v>
      </c>
      <c r="J46" s="114">
        <f t="shared" si="11"/>
        <v>15864436</v>
      </c>
      <c r="K46" s="114">
        <f t="shared" si="13"/>
        <v>15864436</v>
      </c>
      <c r="L46" s="115"/>
      <c r="M46" s="115"/>
      <c r="N46" s="115"/>
      <c r="O46" s="115"/>
      <c r="P46" s="116">
        <f t="shared" si="4"/>
        <v>15864436</v>
      </c>
      <c r="Q46" s="116"/>
      <c r="R46" s="117">
        <f t="shared" si="5"/>
        <v>15864436</v>
      </c>
      <c r="S46" s="117"/>
      <c r="T46" s="117">
        <f t="shared" si="6"/>
        <v>15864436</v>
      </c>
      <c r="U46" s="105"/>
      <c r="V46" s="105"/>
      <c r="W46" s="118">
        <v>15626176</v>
      </c>
      <c r="X46" s="118">
        <v>15626176</v>
      </c>
      <c r="Y46" s="118">
        <v>15626176</v>
      </c>
      <c r="Z46" s="118"/>
      <c r="AA46" s="118"/>
      <c r="AB46" s="118"/>
      <c r="AC46" s="118"/>
      <c r="AD46" s="118"/>
      <c r="AE46" s="118"/>
      <c r="AF46" s="118"/>
      <c r="AG46" s="119">
        <v>238260</v>
      </c>
      <c r="AH46" s="119">
        <v>238260</v>
      </c>
      <c r="AI46" s="119">
        <v>238260</v>
      </c>
      <c r="AJ46" s="110"/>
      <c r="AK46" s="111"/>
      <c r="AL46" s="111"/>
      <c r="AM46" s="119"/>
      <c r="AN46" s="119"/>
      <c r="AO46" s="119"/>
      <c r="AP46" s="119"/>
      <c r="AY46" s="147">
        <f t="shared" si="7"/>
        <v>22131389.620000001</v>
      </c>
      <c r="AZ46" s="3">
        <v>22131389.620000001</v>
      </c>
      <c r="BA46" s="190">
        <f t="shared" si="8"/>
        <v>0</v>
      </c>
    </row>
    <row r="47" spans="1:53" ht="110.1" customHeight="1" x14ac:dyDescent="0.25">
      <c r="A47" s="203"/>
      <c r="B47" s="212"/>
      <c r="C47" s="174">
        <f t="shared" si="9"/>
        <v>42</v>
      </c>
      <c r="D47" s="89" t="s">
        <v>223</v>
      </c>
      <c r="E47" s="184">
        <v>450</v>
      </c>
      <c r="F47" s="114">
        <f t="shared" si="12"/>
        <v>73798.231111111105</v>
      </c>
      <c r="G47" s="114">
        <f t="shared" si="2"/>
        <v>73798.231111111105</v>
      </c>
      <c r="H47" s="114">
        <f t="shared" si="10"/>
        <v>73798.231111111105</v>
      </c>
      <c r="I47" s="114">
        <f t="shared" si="3"/>
        <v>33209204</v>
      </c>
      <c r="J47" s="114">
        <f t="shared" si="11"/>
        <v>33209204</v>
      </c>
      <c r="K47" s="114">
        <f t="shared" si="13"/>
        <v>33209204</v>
      </c>
      <c r="L47" s="115"/>
      <c r="M47" s="115"/>
      <c r="N47" s="115"/>
      <c r="O47" s="115"/>
      <c r="P47" s="116">
        <f t="shared" si="4"/>
        <v>33209204</v>
      </c>
      <c r="Q47" s="116"/>
      <c r="R47" s="117">
        <f t="shared" si="5"/>
        <v>33209204</v>
      </c>
      <c r="S47" s="117"/>
      <c r="T47" s="117">
        <f t="shared" si="6"/>
        <v>33209204</v>
      </c>
      <c r="U47" s="105"/>
      <c r="V47" s="105"/>
      <c r="W47" s="118">
        <v>32503829</v>
      </c>
      <c r="X47" s="118">
        <v>32503829</v>
      </c>
      <c r="Y47" s="118">
        <v>32503829</v>
      </c>
      <c r="Z47" s="118"/>
      <c r="AA47" s="118"/>
      <c r="AB47" s="118"/>
      <c r="AC47" s="118"/>
      <c r="AD47" s="118"/>
      <c r="AE47" s="118"/>
      <c r="AF47" s="118"/>
      <c r="AG47" s="119">
        <v>705375</v>
      </c>
      <c r="AH47" s="119">
        <v>705375</v>
      </c>
      <c r="AI47" s="119">
        <v>705375</v>
      </c>
      <c r="AJ47" s="110"/>
      <c r="AK47" s="111"/>
      <c r="AL47" s="111"/>
      <c r="AM47" s="119"/>
      <c r="AN47" s="119"/>
      <c r="AO47" s="119"/>
      <c r="AP47" s="119"/>
      <c r="AY47" s="147">
        <f t="shared" si="7"/>
        <v>46328291.829999998</v>
      </c>
      <c r="AZ47" s="3">
        <v>46328291.829999998</v>
      </c>
      <c r="BA47" s="190">
        <f t="shared" si="8"/>
        <v>0</v>
      </c>
    </row>
    <row r="48" spans="1:53" ht="110.1" customHeight="1" x14ac:dyDescent="0.25">
      <c r="A48" s="203"/>
      <c r="B48" s="212"/>
      <c r="C48" s="174">
        <f t="shared" si="9"/>
        <v>43</v>
      </c>
      <c r="D48" s="89" t="s">
        <v>224</v>
      </c>
      <c r="E48" s="184">
        <v>233</v>
      </c>
      <c r="F48" s="114">
        <f t="shared" si="12"/>
        <v>102182.85407725321</v>
      </c>
      <c r="G48" s="114">
        <f t="shared" si="2"/>
        <v>102182.85407725321</v>
      </c>
      <c r="H48" s="114">
        <f t="shared" si="10"/>
        <v>102182.85407725321</v>
      </c>
      <c r="I48" s="114">
        <f t="shared" si="3"/>
        <v>23808605</v>
      </c>
      <c r="J48" s="114">
        <f t="shared" si="11"/>
        <v>23808605</v>
      </c>
      <c r="K48" s="114">
        <f t="shared" si="13"/>
        <v>23808605</v>
      </c>
      <c r="L48" s="115"/>
      <c r="M48" s="115"/>
      <c r="N48" s="115"/>
      <c r="O48" s="115"/>
      <c r="P48" s="116">
        <f t="shared" si="4"/>
        <v>23808605</v>
      </c>
      <c r="Q48" s="116"/>
      <c r="R48" s="117">
        <f t="shared" si="5"/>
        <v>23808605</v>
      </c>
      <c r="S48" s="117"/>
      <c r="T48" s="117">
        <f t="shared" si="6"/>
        <v>23808605</v>
      </c>
      <c r="U48" s="105"/>
      <c r="V48" s="105"/>
      <c r="W48" s="118">
        <v>23443378</v>
      </c>
      <c r="X48" s="118">
        <v>23443378</v>
      </c>
      <c r="Y48" s="118">
        <v>23443378</v>
      </c>
      <c r="Z48" s="118"/>
      <c r="AA48" s="118"/>
      <c r="AB48" s="118"/>
      <c r="AC48" s="118"/>
      <c r="AD48" s="118"/>
      <c r="AE48" s="118"/>
      <c r="AF48" s="118"/>
      <c r="AG48" s="119">
        <v>365227</v>
      </c>
      <c r="AH48" s="119">
        <v>365227</v>
      </c>
      <c r="AI48" s="119">
        <v>365227</v>
      </c>
      <c r="AJ48" s="110"/>
      <c r="AK48" s="111"/>
      <c r="AL48" s="111"/>
      <c r="AM48" s="119"/>
      <c r="AN48" s="119"/>
      <c r="AO48" s="119"/>
      <c r="AP48" s="119"/>
      <c r="AY48" s="147">
        <f t="shared" si="7"/>
        <v>32978403.789999999</v>
      </c>
      <c r="AZ48" s="3">
        <v>32978403.789999999</v>
      </c>
      <c r="BA48" s="190">
        <f t="shared" si="8"/>
        <v>0</v>
      </c>
    </row>
    <row r="49" spans="1:53" ht="110.1" customHeight="1" x14ac:dyDescent="0.25">
      <c r="A49" s="203"/>
      <c r="B49" s="212"/>
      <c r="C49" s="174">
        <f t="shared" si="9"/>
        <v>44</v>
      </c>
      <c r="D49" s="89" t="s">
        <v>103</v>
      </c>
      <c r="E49" s="184">
        <v>386</v>
      </c>
      <c r="F49" s="114">
        <f t="shared" si="12"/>
        <v>78492.826424870465</v>
      </c>
      <c r="G49" s="114">
        <f t="shared" si="2"/>
        <v>78492.826424870465</v>
      </c>
      <c r="H49" s="114">
        <f t="shared" si="10"/>
        <v>78492.826424870465</v>
      </c>
      <c r="I49" s="114">
        <f t="shared" si="3"/>
        <v>30298231</v>
      </c>
      <c r="J49" s="114">
        <f t="shared" si="11"/>
        <v>30298231</v>
      </c>
      <c r="K49" s="114">
        <f t="shared" si="13"/>
        <v>30298231</v>
      </c>
      <c r="L49" s="115"/>
      <c r="M49" s="115"/>
      <c r="N49" s="115"/>
      <c r="O49" s="115"/>
      <c r="P49" s="116">
        <f t="shared" si="4"/>
        <v>30298231</v>
      </c>
      <c r="Q49" s="116"/>
      <c r="R49" s="117">
        <f t="shared" si="5"/>
        <v>30298231</v>
      </c>
      <c r="S49" s="117"/>
      <c r="T49" s="117">
        <f t="shared" si="6"/>
        <v>30298231</v>
      </c>
      <c r="U49" s="105"/>
      <c r="V49" s="105"/>
      <c r="W49" s="118">
        <v>29693181</v>
      </c>
      <c r="X49" s="118">
        <v>29693181</v>
      </c>
      <c r="Y49" s="118">
        <v>29693181</v>
      </c>
      <c r="Z49" s="118"/>
      <c r="AA49" s="118"/>
      <c r="AB49" s="118"/>
      <c r="AC49" s="118"/>
      <c r="AD49" s="118"/>
      <c r="AE49" s="118"/>
      <c r="AF49" s="118"/>
      <c r="AG49" s="119">
        <v>605050</v>
      </c>
      <c r="AH49" s="119">
        <v>605050</v>
      </c>
      <c r="AI49" s="119">
        <v>605050</v>
      </c>
      <c r="AJ49" s="110"/>
      <c r="AK49" s="111"/>
      <c r="AL49" s="111"/>
      <c r="AM49" s="119"/>
      <c r="AN49" s="119"/>
      <c r="AO49" s="119"/>
      <c r="AP49" s="119"/>
      <c r="AY49" s="147">
        <f t="shared" si="7"/>
        <v>41799061.880000003</v>
      </c>
      <c r="AZ49" s="3">
        <v>41799061.880000003</v>
      </c>
      <c r="BA49" s="190">
        <f t="shared" si="8"/>
        <v>0</v>
      </c>
    </row>
    <row r="50" spans="1:53" ht="110.1" customHeight="1" x14ac:dyDescent="0.25">
      <c r="A50" s="203"/>
      <c r="B50" s="212"/>
      <c r="C50" s="174">
        <f t="shared" si="9"/>
        <v>45</v>
      </c>
      <c r="D50" s="89" t="s">
        <v>104</v>
      </c>
      <c r="E50" s="184">
        <v>382</v>
      </c>
      <c r="F50" s="114">
        <f t="shared" si="12"/>
        <v>107110.74345549739</v>
      </c>
      <c r="G50" s="114">
        <f t="shared" si="2"/>
        <v>107110.74345549739</v>
      </c>
      <c r="H50" s="114">
        <f t="shared" si="10"/>
        <v>107110.74345549739</v>
      </c>
      <c r="I50" s="114">
        <f t="shared" si="3"/>
        <v>40916304</v>
      </c>
      <c r="J50" s="114">
        <f t="shared" si="11"/>
        <v>40916304</v>
      </c>
      <c r="K50" s="114">
        <f t="shared" si="13"/>
        <v>40916304</v>
      </c>
      <c r="L50" s="115"/>
      <c r="M50" s="115"/>
      <c r="N50" s="115"/>
      <c r="O50" s="115"/>
      <c r="P50" s="116">
        <f t="shared" si="4"/>
        <v>40916304</v>
      </c>
      <c r="Q50" s="116"/>
      <c r="R50" s="117">
        <f t="shared" si="5"/>
        <v>40916304</v>
      </c>
      <c r="S50" s="117"/>
      <c r="T50" s="117">
        <f t="shared" si="6"/>
        <v>40916304</v>
      </c>
      <c r="U50" s="105"/>
      <c r="V50" s="105"/>
      <c r="W50" s="118">
        <v>40317519</v>
      </c>
      <c r="X50" s="118">
        <v>40317519</v>
      </c>
      <c r="Y50" s="118">
        <v>40317519</v>
      </c>
      <c r="Z50" s="118"/>
      <c r="AA50" s="118"/>
      <c r="AB50" s="118"/>
      <c r="AC50" s="118"/>
      <c r="AD50" s="118"/>
      <c r="AE50" s="118"/>
      <c r="AF50" s="118"/>
      <c r="AG50" s="119">
        <v>598785</v>
      </c>
      <c r="AH50" s="119">
        <v>598785</v>
      </c>
      <c r="AI50" s="119">
        <v>598785</v>
      </c>
      <c r="AJ50" s="110"/>
      <c r="AK50" s="111"/>
      <c r="AL50" s="111"/>
      <c r="AM50" s="119"/>
      <c r="AN50" s="119"/>
      <c r="AO50" s="119"/>
      <c r="AP50" s="119"/>
      <c r="AY50" s="147">
        <f t="shared" si="7"/>
        <v>53361494.119999997</v>
      </c>
      <c r="AZ50" s="3">
        <v>53361494.119999997</v>
      </c>
      <c r="BA50" s="190">
        <f t="shared" si="8"/>
        <v>0</v>
      </c>
    </row>
    <row r="51" spans="1:53" ht="110.1" customHeight="1" x14ac:dyDescent="0.25">
      <c r="A51" s="203"/>
      <c r="B51" s="212"/>
      <c r="C51" s="174">
        <f t="shared" si="9"/>
        <v>46</v>
      </c>
      <c r="D51" s="89" t="s">
        <v>105</v>
      </c>
      <c r="E51" s="184">
        <v>432</v>
      </c>
      <c r="F51" s="114">
        <f t="shared" si="12"/>
        <v>73262.828703703708</v>
      </c>
      <c r="G51" s="114">
        <f t="shared" si="2"/>
        <v>73262.828703703708</v>
      </c>
      <c r="H51" s="114">
        <f t="shared" si="10"/>
        <v>73262.828703703708</v>
      </c>
      <c r="I51" s="114">
        <f t="shared" si="3"/>
        <v>31649542</v>
      </c>
      <c r="J51" s="114">
        <f t="shared" si="11"/>
        <v>31649542</v>
      </c>
      <c r="K51" s="114">
        <f t="shared" si="13"/>
        <v>31649542</v>
      </c>
      <c r="L51" s="115"/>
      <c r="M51" s="115"/>
      <c r="N51" s="115"/>
      <c r="O51" s="115"/>
      <c r="P51" s="116">
        <f t="shared" si="4"/>
        <v>31649542</v>
      </c>
      <c r="Q51" s="116"/>
      <c r="R51" s="117">
        <f t="shared" si="5"/>
        <v>31649542</v>
      </c>
      <c r="S51" s="117"/>
      <c r="T51" s="117">
        <f t="shared" si="6"/>
        <v>31649542</v>
      </c>
      <c r="U51" s="105"/>
      <c r="V51" s="105"/>
      <c r="W51" s="118">
        <v>30972382</v>
      </c>
      <c r="X51" s="118">
        <v>30972382</v>
      </c>
      <c r="Y51" s="118">
        <v>30972382</v>
      </c>
      <c r="Z51" s="118"/>
      <c r="AA51" s="118"/>
      <c r="AB51" s="118"/>
      <c r="AC51" s="118"/>
      <c r="AD51" s="118"/>
      <c r="AE51" s="118"/>
      <c r="AF51" s="118"/>
      <c r="AG51" s="119">
        <v>677160</v>
      </c>
      <c r="AH51" s="119">
        <v>677160</v>
      </c>
      <c r="AI51" s="119">
        <v>677160</v>
      </c>
      <c r="AJ51" s="110"/>
      <c r="AK51" s="111"/>
      <c r="AL51" s="111"/>
      <c r="AM51" s="119"/>
      <c r="AN51" s="119"/>
      <c r="AO51" s="119"/>
      <c r="AP51" s="119"/>
      <c r="AY51" s="147">
        <f t="shared" si="7"/>
        <v>44248053.18</v>
      </c>
      <c r="AZ51" s="3">
        <v>44248053.18</v>
      </c>
      <c r="BA51" s="190">
        <f t="shared" si="8"/>
        <v>0</v>
      </c>
    </row>
    <row r="52" spans="1:53" ht="110.1" customHeight="1" x14ac:dyDescent="0.25">
      <c r="A52" s="203"/>
      <c r="B52" s="212"/>
      <c r="C52" s="174">
        <f t="shared" si="9"/>
        <v>47</v>
      </c>
      <c r="D52" s="89" t="s">
        <v>177</v>
      </c>
      <c r="E52" s="184">
        <v>210</v>
      </c>
      <c r="F52" s="114">
        <f t="shared" si="12"/>
        <v>94387.780952380956</v>
      </c>
      <c r="G52" s="114">
        <f t="shared" si="2"/>
        <v>94387.780952380956</v>
      </c>
      <c r="H52" s="114">
        <f t="shared" si="10"/>
        <v>94387.780952380956</v>
      </c>
      <c r="I52" s="114">
        <f t="shared" si="3"/>
        <v>19821434</v>
      </c>
      <c r="J52" s="114">
        <f t="shared" si="11"/>
        <v>19821434</v>
      </c>
      <c r="K52" s="114">
        <f t="shared" si="13"/>
        <v>19821434</v>
      </c>
      <c r="L52" s="115"/>
      <c r="M52" s="115"/>
      <c r="N52" s="115"/>
      <c r="O52" s="115"/>
      <c r="P52" s="116">
        <f t="shared" si="4"/>
        <v>19821434</v>
      </c>
      <c r="Q52" s="116"/>
      <c r="R52" s="117">
        <f t="shared" si="5"/>
        <v>19821434</v>
      </c>
      <c r="S52" s="117"/>
      <c r="T52" s="117">
        <f t="shared" si="6"/>
        <v>19821434</v>
      </c>
      <c r="U52" s="105"/>
      <c r="V52" s="105"/>
      <c r="W52" s="118">
        <v>19492259</v>
      </c>
      <c r="X52" s="118">
        <v>19492259</v>
      </c>
      <c r="Y52" s="118">
        <v>19492259</v>
      </c>
      <c r="Z52" s="118"/>
      <c r="AA52" s="118"/>
      <c r="AB52" s="118"/>
      <c r="AC52" s="118"/>
      <c r="AD52" s="118"/>
      <c r="AE52" s="118"/>
      <c r="AF52" s="118"/>
      <c r="AG52" s="119">
        <v>329175</v>
      </c>
      <c r="AH52" s="119">
        <v>329175</v>
      </c>
      <c r="AI52" s="119">
        <v>329175</v>
      </c>
      <c r="AJ52" s="110"/>
      <c r="AK52" s="111"/>
      <c r="AL52" s="111"/>
      <c r="AM52" s="119"/>
      <c r="AN52" s="119"/>
      <c r="AO52" s="119"/>
      <c r="AP52" s="119"/>
      <c r="AY52" s="147">
        <f t="shared" si="7"/>
        <v>25812806.600000001</v>
      </c>
      <c r="AZ52" s="3">
        <v>25812806.600000001</v>
      </c>
      <c r="BA52" s="190">
        <f t="shared" si="8"/>
        <v>0</v>
      </c>
    </row>
    <row r="53" spans="1:53" ht="110.1" customHeight="1" x14ac:dyDescent="0.25">
      <c r="A53" s="203"/>
      <c r="B53" s="212"/>
      <c r="C53" s="174">
        <f t="shared" si="9"/>
        <v>48</v>
      </c>
      <c r="D53" s="89" t="s">
        <v>225</v>
      </c>
      <c r="E53" s="184">
        <v>82</v>
      </c>
      <c r="F53" s="114">
        <f t="shared" si="12"/>
        <v>110267.86585365854</v>
      </c>
      <c r="G53" s="114">
        <f t="shared" si="2"/>
        <v>110267.86585365854</v>
      </c>
      <c r="H53" s="114">
        <f t="shared" si="10"/>
        <v>110267.86585365854</v>
      </c>
      <c r="I53" s="114">
        <f t="shared" si="3"/>
        <v>9041965</v>
      </c>
      <c r="J53" s="114">
        <f t="shared" si="11"/>
        <v>9041965</v>
      </c>
      <c r="K53" s="114">
        <f t="shared" si="13"/>
        <v>9041965</v>
      </c>
      <c r="L53" s="115"/>
      <c r="M53" s="115"/>
      <c r="N53" s="115"/>
      <c r="O53" s="115"/>
      <c r="P53" s="116">
        <f t="shared" si="4"/>
        <v>9041965</v>
      </c>
      <c r="Q53" s="116"/>
      <c r="R53" s="117">
        <f t="shared" si="5"/>
        <v>9041965</v>
      </c>
      <c r="S53" s="117"/>
      <c r="T53" s="117">
        <f t="shared" si="6"/>
        <v>9041965</v>
      </c>
      <c r="U53" s="105"/>
      <c r="V53" s="105"/>
      <c r="W53" s="118">
        <v>8913430</v>
      </c>
      <c r="X53" s="118">
        <v>8913430</v>
      </c>
      <c r="Y53" s="118">
        <v>8913430</v>
      </c>
      <c r="Z53" s="118"/>
      <c r="AA53" s="118"/>
      <c r="AB53" s="118"/>
      <c r="AC53" s="118"/>
      <c r="AD53" s="118"/>
      <c r="AE53" s="118"/>
      <c r="AF53" s="118"/>
      <c r="AG53" s="119">
        <v>128535</v>
      </c>
      <c r="AH53" s="119">
        <v>128535</v>
      </c>
      <c r="AI53" s="119">
        <v>128535</v>
      </c>
      <c r="AJ53" s="110"/>
      <c r="AK53" s="111"/>
      <c r="AL53" s="111"/>
      <c r="AM53" s="119"/>
      <c r="AN53" s="119"/>
      <c r="AO53" s="119"/>
      <c r="AP53" s="119"/>
      <c r="AY53" s="147">
        <f t="shared" si="7"/>
        <v>13415740.08</v>
      </c>
      <c r="AZ53" s="3">
        <v>13415740.08</v>
      </c>
      <c r="BA53" s="190">
        <f t="shared" si="8"/>
        <v>0</v>
      </c>
    </row>
    <row r="54" spans="1:53" ht="110.1" customHeight="1" x14ac:dyDescent="0.25">
      <c r="A54" s="203"/>
      <c r="B54" s="212"/>
      <c r="C54" s="174">
        <f t="shared" si="9"/>
        <v>49</v>
      </c>
      <c r="D54" s="89" t="s">
        <v>108</v>
      </c>
      <c r="E54" s="184">
        <v>223</v>
      </c>
      <c r="F54" s="114">
        <f t="shared" si="12"/>
        <v>132590.37219730942</v>
      </c>
      <c r="G54" s="114">
        <f t="shared" si="2"/>
        <v>132590.37219730942</v>
      </c>
      <c r="H54" s="114">
        <f t="shared" si="10"/>
        <v>132590.37219730942</v>
      </c>
      <c r="I54" s="114">
        <f t="shared" si="3"/>
        <v>29567653</v>
      </c>
      <c r="J54" s="114">
        <f t="shared" si="11"/>
        <v>29567653</v>
      </c>
      <c r="K54" s="114">
        <f t="shared" si="13"/>
        <v>29567653</v>
      </c>
      <c r="L54" s="115"/>
      <c r="M54" s="115"/>
      <c r="N54" s="115"/>
      <c r="O54" s="115"/>
      <c r="P54" s="116">
        <f t="shared" si="4"/>
        <v>29567653</v>
      </c>
      <c r="Q54" s="116"/>
      <c r="R54" s="117">
        <f t="shared" si="5"/>
        <v>29567653</v>
      </c>
      <c r="S54" s="117"/>
      <c r="T54" s="117">
        <f t="shared" si="6"/>
        <v>29567653</v>
      </c>
      <c r="U54" s="105"/>
      <c r="V54" s="105"/>
      <c r="W54" s="118">
        <v>29218101</v>
      </c>
      <c r="X54" s="118">
        <v>29218101</v>
      </c>
      <c r="Y54" s="118">
        <v>29218101</v>
      </c>
      <c r="Z54" s="118"/>
      <c r="AA54" s="118"/>
      <c r="AB54" s="118"/>
      <c r="AC54" s="118"/>
      <c r="AD54" s="118"/>
      <c r="AE54" s="118"/>
      <c r="AF54" s="118"/>
      <c r="AG54" s="119">
        <v>349552</v>
      </c>
      <c r="AH54" s="119">
        <v>349552</v>
      </c>
      <c r="AI54" s="119">
        <v>349552</v>
      </c>
      <c r="AJ54" s="110"/>
      <c r="AK54" s="111"/>
      <c r="AL54" s="111"/>
      <c r="AM54" s="119"/>
      <c r="AN54" s="119"/>
      <c r="AO54" s="119"/>
      <c r="AP54" s="119"/>
      <c r="AY54" s="147">
        <f t="shared" si="7"/>
        <v>41590326.43</v>
      </c>
      <c r="AZ54" s="3">
        <v>41590326.43</v>
      </c>
      <c r="BA54" s="190">
        <f t="shared" si="8"/>
        <v>0</v>
      </c>
    </row>
    <row r="55" spans="1:53" ht="110.1" customHeight="1" x14ac:dyDescent="0.25">
      <c r="A55" s="203"/>
      <c r="B55" s="212"/>
      <c r="C55" s="174">
        <f t="shared" si="9"/>
        <v>50</v>
      </c>
      <c r="D55" s="89" t="s">
        <v>226</v>
      </c>
      <c r="E55" s="184">
        <v>378</v>
      </c>
      <c r="F55" s="114">
        <f t="shared" si="12"/>
        <v>67941.812169312165</v>
      </c>
      <c r="G55" s="114">
        <f t="shared" si="2"/>
        <v>67941.812169312165</v>
      </c>
      <c r="H55" s="114">
        <f t="shared" si="10"/>
        <v>67941.812169312165</v>
      </c>
      <c r="I55" s="114">
        <f t="shared" si="3"/>
        <v>25682005</v>
      </c>
      <c r="J55" s="114">
        <f t="shared" si="11"/>
        <v>25682005</v>
      </c>
      <c r="K55" s="114">
        <f t="shared" si="13"/>
        <v>25682005</v>
      </c>
      <c r="L55" s="115"/>
      <c r="M55" s="115"/>
      <c r="N55" s="115"/>
      <c r="O55" s="115"/>
      <c r="P55" s="116">
        <f t="shared" si="4"/>
        <v>25682005</v>
      </c>
      <c r="Q55" s="116"/>
      <c r="R55" s="117">
        <f t="shared" si="5"/>
        <v>25682005</v>
      </c>
      <c r="S55" s="117"/>
      <c r="T55" s="117">
        <f t="shared" si="6"/>
        <v>25682005</v>
      </c>
      <c r="U55" s="105"/>
      <c r="V55" s="105"/>
      <c r="W55" s="118">
        <v>25089485</v>
      </c>
      <c r="X55" s="118">
        <v>25089485</v>
      </c>
      <c r="Y55" s="118">
        <v>25089485</v>
      </c>
      <c r="Z55" s="118"/>
      <c r="AA55" s="118"/>
      <c r="AB55" s="118"/>
      <c r="AC55" s="118"/>
      <c r="AD55" s="118"/>
      <c r="AE55" s="118"/>
      <c r="AF55" s="118"/>
      <c r="AG55" s="119">
        <v>592520</v>
      </c>
      <c r="AH55" s="119">
        <v>592520</v>
      </c>
      <c r="AI55" s="119">
        <v>592520</v>
      </c>
      <c r="AJ55" s="110"/>
      <c r="AK55" s="111"/>
      <c r="AL55" s="111"/>
      <c r="AM55" s="119"/>
      <c r="AN55" s="119"/>
      <c r="AO55" s="119"/>
      <c r="AP55" s="119"/>
      <c r="AY55" s="147">
        <f t="shared" si="7"/>
        <v>35081503.159999996</v>
      </c>
      <c r="AZ55" s="3">
        <v>35081503.159999996</v>
      </c>
      <c r="BA55" s="190">
        <f t="shared" si="8"/>
        <v>0</v>
      </c>
    </row>
    <row r="56" spans="1:53" ht="110.1" customHeight="1" x14ac:dyDescent="0.25">
      <c r="A56" s="203"/>
      <c r="B56" s="212"/>
      <c r="C56" s="174">
        <f t="shared" si="9"/>
        <v>51</v>
      </c>
      <c r="D56" s="89" t="s">
        <v>227</v>
      </c>
      <c r="E56" s="184">
        <v>227</v>
      </c>
      <c r="F56" s="114">
        <f t="shared" si="12"/>
        <v>68949.343612334807</v>
      </c>
      <c r="G56" s="114">
        <f t="shared" si="2"/>
        <v>68949.343612334807</v>
      </c>
      <c r="H56" s="114">
        <f t="shared" si="10"/>
        <v>68949.343612334807</v>
      </c>
      <c r="I56" s="114">
        <f t="shared" si="3"/>
        <v>15651501</v>
      </c>
      <c r="J56" s="114">
        <f t="shared" si="11"/>
        <v>15651501</v>
      </c>
      <c r="K56" s="114">
        <f t="shared" si="13"/>
        <v>15651501</v>
      </c>
      <c r="L56" s="115"/>
      <c r="M56" s="115"/>
      <c r="N56" s="115"/>
      <c r="O56" s="115"/>
      <c r="P56" s="116">
        <f t="shared" si="4"/>
        <v>15651501</v>
      </c>
      <c r="Q56" s="116"/>
      <c r="R56" s="117">
        <f t="shared" si="5"/>
        <v>15651501</v>
      </c>
      <c r="S56" s="117"/>
      <c r="T56" s="117">
        <f t="shared" si="6"/>
        <v>15651501</v>
      </c>
      <c r="U56" s="105"/>
      <c r="V56" s="105"/>
      <c r="W56" s="118">
        <v>15295681</v>
      </c>
      <c r="X56" s="118">
        <v>15295681</v>
      </c>
      <c r="Y56" s="118">
        <v>15295681</v>
      </c>
      <c r="Z56" s="118"/>
      <c r="AA56" s="118"/>
      <c r="AB56" s="118"/>
      <c r="AC56" s="118"/>
      <c r="AD56" s="118"/>
      <c r="AE56" s="118"/>
      <c r="AF56" s="118"/>
      <c r="AG56" s="119">
        <v>355820</v>
      </c>
      <c r="AH56" s="119">
        <v>355820</v>
      </c>
      <c r="AI56" s="119">
        <v>355820</v>
      </c>
      <c r="AJ56" s="110"/>
      <c r="AK56" s="111"/>
      <c r="AL56" s="111"/>
      <c r="AM56" s="119"/>
      <c r="AN56" s="119"/>
      <c r="AO56" s="119"/>
      <c r="AP56" s="119"/>
      <c r="AY56" s="147">
        <f t="shared" si="7"/>
        <v>22771751.73</v>
      </c>
      <c r="AZ56" s="3">
        <v>22771751.73</v>
      </c>
      <c r="BA56" s="190">
        <f t="shared" si="8"/>
        <v>0</v>
      </c>
    </row>
    <row r="57" spans="1:53" ht="110.1" customHeight="1" x14ac:dyDescent="0.25">
      <c r="A57" s="203"/>
      <c r="B57" s="212"/>
      <c r="C57" s="174">
        <f t="shared" si="9"/>
        <v>52</v>
      </c>
      <c r="D57" s="89" t="s">
        <v>111</v>
      </c>
      <c r="E57" s="184">
        <v>107</v>
      </c>
      <c r="F57" s="114">
        <f t="shared" si="12"/>
        <v>117969.42056074766</v>
      </c>
      <c r="G57" s="114">
        <f t="shared" si="2"/>
        <v>117969.42056074766</v>
      </c>
      <c r="H57" s="114">
        <f t="shared" si="10"/>
        <v>117969.42056074766</v>
      </c>
      <c r="I57" s="114">
        <f t="shared" si="3"/>
        <v>12622728</v>
      </c>
      <c r="J57" s="114">
        <f t="shared" si="11"/>
        <v>12622728</v>
      </c>
      <c r="K57" s="114">
        <f t="shared" si="13"/>
        <v>12622728</v>
      </c>
      <c r="L57" s="115"/>
      <c r="M57" s="115"/>
      <c r="N57" s="115"/>
      <c r="O57" s="115"/>
      <c r="P57" s="116">
        <f t="shared" si="4"/>
        <v>12622728</v>
      </c>
      <c r="Q57" s="116"/>
      <c r="R57" s="117">
        <f t="shared" si="5"/>
        <v>12622728</v>
      </c>
      <c r="S57" s="117"/>
      <c r="T57" s="117">
        <f t="shared" si="6"/>
        <v>12622728</v>
      </c>
      <c r="U57" s="105"/>
      <c r="V57" s="105"/>
      <c r="W57" s="118">
        <v>12454998</v>
      </c>
      <c r="X57" s="118">
        <v>12454998</v>
      </c>
      <c r="Y57" s="118">
        <v>12454998</v>
      </c>
      <c r="Z57" s="118"/>
      <c r="AA57" s="118"/>
      <c r="AB57" s="118"/>
      <c r="AC57" s="118"/>
      <c r="AD57" s="118"/>
      <c r="AE57" s="118"/>
      <c r="AF57" s="118"/>
      <c r="AG57" s="119">
        <v>167730</v>
      </c>
      <c r="AH57" s="119">
        <v>167730</v>
      </c>
      <c r="AI57" s="119">
        <v>167730</v>
      </c>
      <c r="AJ57" s="110"/>
      <c r="AK57" s="111"/>
      <c r="AL57" s="111"/>
      <c r="AM57" s="119"/>
      <c r="AN57" s="119"/>
      <c r="AO57" s="119"/>
      <c r="AP57" s="119"/>
      <c r="AY57" s="147">
        <f t="shared" si="7"/>
        <v>17839969.550000001</v>
      </c>
      <c r="AZ57" s="3">
        <v>17839969.550000001</v>
      </c>
      <c r="BA57" s="190">
        <f t="shared" si="8"/>
        <v>0</v>
      </c>
    </row>
    <row r="58" spans="1:53" ht="110.1" customHeight="1" x14ac:dyDescent="0.25">
      <c r="A58" s="203"/>
      <c r="B58" s="212"/>
      <c r="C58" s="174">
        <f t="shared" si="9"/>
        <v>53</v>
      </c>
      <c r="D58" s="89" t="s">
        <v>112</v>
      </c>
      <c r="E58" s="184">
        <v>108</v>
      </c>
      <c r="F58" s="114">
        <f t="shared" si="12"/>
        <v>102461.87962962964</v>
      </c>
      <c r="G58" s="114">
        <f t="shared" si="2"/>
        <v>102461.87962962964</v>
      </c>
      <c r="H58" s="114">
        <f t="shared" si="10"/>
        <v>102461.87962962964</v>
      </c>
      <c r="I58" s="114">
        <f t="shared" si="3"/>
        <v>11065883</v>
      </c>
      <c r="J58" s="114">
        <f t="shared" si="11"/>
        <v>11065883</v>
      </c>
      <c r="K58" s="114">
        <f t="shared" si="13"/>
        <v>11065883</v>
      </c>
      <c r="L58" s="115"/>
      <c r="M58" s="115"/>
      <c r="N58" s="115"/>
      <c r="O58" s="115"/>
      <c r="P58" s="116">
        <f t="shared" si="4"/>
        <v>11065883</v>
      </c>
      <c r="Q58" s="116"/>
      <c r="R58" s="117">
        <f t="shared" si="5"/>
        <v>11065883</v>
      </c>
      <c r="S58" s="117"/>
      <c r="T58" s="117">
        <f t="shared" si="6"/>
        <v>11065883</v>
      </c>
      <c r="U58" s="105"/>
      <c r="V58" s="105"/>
      <c r="W58" s="118">
        <v>10896593</v>
      </c>
      <c r="X58" s="118">
        <v>10896593</v>
      </c>
      <c r="Y58" s="118">
        <v>10896593</v>
      </c>
      <c r="Z58" s="118"/>
      <c r="AA58" s="118"/>
      <c r="AB58" s="118"/>
      <c r="AC58" s="118"/>
      <c r="AD58" s="118"/>
      <c r="AE58" s="118"/>
      <c r="AF58" s="118"/>
      <c r="AG58" s="119">
        <v>169290</v>
      </c>
      <c r="AH58" s="119">
        <v>169290</v>
      </c>
      <c r="AI58" s="119">
        <v>169290</v>
      </c>
      <c r="AJ58" s="110"/>
      <c r="AK58" s="111"/>
      <c r="AL58" s="111"/>
      <c r="AM58" s="119"/>
      <c r="AN58" s="119"/>
      <c r="AO58" s="119"/>
      <c r="AP58" s="119"/>
      <c r="AY58" s="147">
        <f t="shared" si="7"/>
        <v>16773875.57</v>
      </c>
      <c r="AZ58" s="3">
        <v>16773875.57</v>
      </c>
      <c r="BA58" s="190">
        <f t="shared" si="8"/>
        <v>0</v>
      </c>
    </row>
    <row r="59" spans="1:53" ht="110.1" customHeight="1" x14ac:dyDescent="0.25">
      <c r="A59" s="203"/>
      <c r="B59" s="212"/>
      <c r="C59" s="174">
        <f t="shared" si="9"/>
        <v>54</v>
      </c>
      <c r="D59" s="89" t="s">
        <v>228</v>
      </c>
      <c r="E59" s="184">
        <v>145</v>
      </c>
      <c r="F59" s="114">
        <f t="shared" si="12"/>
        <v>135243.46206896551</v>
      </c>
      <c r="G59" s="114">
        <f t="shared" si="2"/>
        <v>135243.46206896551</v>
      </c>
      <c r="H59" s="114">
        <f t="shared" si="10"/>
        <v>135243.46206896551</v>
      </c>
      <c r="I59" s="114">
        <f t="shared" si="3"/>
        <v>19610302</v>
      </c>
      <c r="J59" s="114">
        <f t="shared" si="11"/>
        <v>19610302</v>
      </c>
      <c r="K59" s="114">
        <f t="shared" si="13"/>
        <v>19610302</v>
      </c>
      <c r="L59" s="115"/>
      <c r="M59" s="115"/>
      <c r="N59" s="115"/>
      <c r="O59" s="115"/>
      <c r="P59" s="116">
        <f t="shared" si="4"/>
        <v>19610302</v>
      </c>
      <c r="Q59" s="116"/>
      <c r="R59" s="117">
        <f t="shared" si="5"/>
        <v>19610302</v>
      </c>
      <c r="S59" s="117"/>
      <c r="T59" s="117">
        <f t="shared" si="6"/>
        <v>19610302</v>
      </c>
      <c r="U59" s="105"/>
      <c r="V59" s="105"/>
      <c r="W59" s="118">
        <v>19383015</v>
      </c>
      <c r="X59" s="118">
        <v>19383015</v>
      </c>
      <c r="Y59" s="118">
        <v>19383015</v>
      </c>
      <c r="Z59" s="118"/>
      <c r="AA59" s="118"/>
      <c r="AB59" s="118"/>
      <c r="AC59" s="118"/>
      <c r="AD59" s="118"/>
      <c r="AE59" s="118"/>
      <c r="AF59" s="118"/>
      <c r="AG59" s="119">
        <v>227287</v>
      </c>
      <c r="AH59" s="119">
        <v>227287</v>
      </c>
      <c r="AI59" s="119">
        <v>227287</v>
      </c>
      <c r="AJ59" s="110"/>
      <c r="AK59" s="111"/>
      <c r="AL59" s="111"/>
      <c r="AM59" s="119"/>
      <c r="AN59" s="119"/>
      <c r="AO59" s="119"/>
      <c r="AP59" s="119"/>
      <c r="AY59" s="147">
        <f t="shared" si="7"/>
        <v>25488251.850000001</v>
      </c>
      <c r="AZ59" s="3">
        <v>25488251.850000001</v>
      </c>
      <c r="BA59" s="190">
        <f t="shared" si="8"/>
        <v>0</v>
      </c>
    </row>
    <row r="60" spans="1:53" ht="110.1" customHeight="1" x14ac:dyDescent="0.25">
      <c r="A60" s="203"/>
      <c r="B60" s="212"/>
      <c r="C60" s="174">
        <f t="shared" si="9"/>
        <v>55</v>
      </c>
      <c r="D60" s="89" t="s">
        <v>229</v>
      </c>
      <c r="E60" s="184">
        <v>350</v>
      </c>
      <c r="F60" s="114">
        <f t="shared" si="12"/>
        <v>79626.528571428571</v>
      </c>
      <c r="G60" s="114">
        <f t="shared" si="2"/>
        <v>79626.528571428571</v>
      </c>
      <c r="H60" s="114">
        <f t="shared" si="10"/>
        <v>79626.528571428571</v>
      </c>
      <c r="I60" s="114">
        <f t="shared" si="3"/>
        <v>27869285</v>
      </c>
      <c r="J60" s="114">
        <f t="shared" si="11"/>
        <v>27869285</v>
      </c>
      <c r="K60" s="114">
        <f t="shared" si="13"/>
        <v>27869285</v>
      </c>
      <c r="L60" s="115"/>
      <c r="M60" s="115"/>
      <c r="N60" s="115"/>
      <c r="O60" s="115"/>
      <c r="P60" s="116">
        <f t="shared" si="4"/>
        <v>27869285</v>
      </c>
      <c r="Q60" s="116"/>
      <c r="R60" s="117">
        <f t="shared" si="5"/>
        <v>27869285</v>
      </c>
      <c r="S60" s="117"/>
      <c r="T60" s="117">
        <f t="shared" si="6"/>
        <v>27869285</v>
      </c>
      <c r="U60" s="105"/>
      <c r="V60" s="105"/>
      <c r="W60" s="118">
        <v>27320660</v>
      </c>
      <c r="X60" s="118">
        <v>27320660</v>
      </c>
      <c r="Y60" s="118">
        <v>27320660</v>
      </c>
      <c r="Z60" s="118"/>
      <c r="AA60" s="118"/>
      <c r="AB60" s="118"/>
      <c r="AC60" s="118"/>
      <c r="AD60" s="118"/>
      <c r="AE60" s="118"/>
      <c r="AF60" s="118"/>
      <c r="AG60" s="119">
        <v>548625</v>
      </c>
      <c r="AH60" s="119">
        <v>548625</v>
      </c>
      <c r="AI60" s="119">
        <v>548625</v>
      </c>
      <c r="AJ60" s="110"/>
      <c r="AK60" s="111"/>
      <c r="AL60" s="111"/>
      <c r="AM60" s="119"/>
      <c r="AN60" s="119"/>
      <c r="AO60" s="119"/>
      <c r="AP60" s="119"/>
      <c r="AY60" s="147">
        <f t="shared" si="7"/>
        <v>41935802.030000001</v>
      </c>
      <c r="AZ60" s="3">
        <v>41935802.030000001</v>
      </c>
      <c r="BA60" s="190">
        <f t="shared" si="8"/>
        <v>0</v>
      </c>
    </row>
    <row r="61" spans="1:53" ht="110.1" customHeight="1" x14ac:dyDescent="0.25">
      <c r="A61" s="203"/>
      <c r="B61" s="212"/>
      <c r="C61" s="174">
        <f t="shared" si="9"/>
        <v>56</v>
      </c>
      <c r="D61" s="89" t="s">
        <v>114</v>
      </c>
      <c r="E61" s="184">
        <v>106</v>
      </c>
      <c r="F61" s="114">
        <f t="shared" si="12"/>
        <v>142047.83962264151</v>
      </c>
      <c r="G61" s="114">
        <f t="shared" si="2"/>
        <v>142047.83962264151</v>
      </c>
      <c r="H61" s="114">
        <f t="shared" si="10"/>
        <v>142047.83962264151</v>
      </c>
      <c r="I61" s="114">
        <f t="shared" si="3"/>
        <v>15057071</v>
      </c>
      <c r="J61" s="114">
        <f t="shared" si="11"/>
        <v>15057071</v>
      </c>
      <c r="K61" s="114">
        <f t="shared" si="13"/>
        <v>15057071</v>
      </c>
      <c r="L61" s="115"/>
      <c r="M61" s="115"/>
      <c r="N61" s="115"/>
      <c r="O61" s="115"/>
      <c r="P61" s="116">
        <f t="shared" si="4"/>
        <v>15057071</v>
      </c>
      <c r="Q61" s="116"/>
      <c r="R61" s="117">
        <f t="shared" si="5"/>
        <v>15057071</v>
      </c>
      <c r="S61" s="117"/>
      <c r="T61" s="117">
        <f t="shared" si="6"/>
        <v>15057071</v>
      </c>
      <c r="U61" s="105"/>
      <c r="V61" s="105"/>
      <c r="W61" s="118">
        <v>14890920</v>
      </c>
      <c r="X61" s="118">
        <v>14890920</v>
      </c>
      <c r="Y61" s="118">
        <v>14890920</v>
      </c>
      <c r="Z61" s="118"/>
      <c r="AA61" s="118"/>
      <c r="AB61" s="118"/>
      <c r="AC61" s="118"/>
      <c r="AD61" s="118"/>
      <c r="AE61" s="118"/>
      <c r="AF61" s="118"/>
      <c r="AG61" s="119">
        <v>166151</v>
      </c>
      <c r="AH61" s="119">
        <v>166151</v>
      </c>
      <c r="AI61" s="119">
        <v>166151</v>
      </c>
      <c r="AJ61" s="110"/>
      <c r="AK61" s="111"/>
      <c r="AL61" s="111"/>
      <c r="AM61" s="119"/>
      <c r="AN61" s="119"/>
      <c r="AO61" s="119"/>
      <c r="AP61" s="119"/>
      <c r="AY61" s="147">
        <f t="shared" si="7"/>
        <v>20873404.710000001</v>
      </c>
      <c r="AZ61" s="3">
        <v>20873404.710000001</v>
      </c>
      <c r="BA61" s="190">
        <f t="shared" si="8"/>
        <v>0</v>
      </c>
    </row>
    <row r="62" spans="1:53" ht="110.1" customHeight="1" x14ac:dyDescent="0.25">
      <c r="A62" s="203"/>
      <c r="B62" s="212"/>
      <c r="C62" s="174">
        <f t="shared" si="9"/>
        <v>57</v>
      </c>
      <c r="D62" s="89" t="s">
        <v>115</v>
      </c>
      <c r="E62" s="184">
        <v>65</v>
      </c>
      <c r="F62" s="114">
        <f t="shared" si="12"/>
        <v>142201.75384615385</v>
      </c>
      <c r="G62" s="114">
        <f t="shared" si="2"/>
        <v>142201.75384615385</v>
      </c>
      <c r="H62" s="114">
        <f t="shared" si="10"/>
        <v>142201.75384615385</v>
      </c>
      <c r="I62" s="114">
        <f t="shared" si="3"/>
        <v>9243114</v>
      </c>
      <c r="J62" s="114">
        <f t="shared" si="11"/>
        <v>9243114</v>
      </c>
      <c r="K62" s="114">
        <f t="shared" si="13"/>
        <v>9243114</v>
      </c>
      <c r="L62" s="115"/>
      <c r="M62" s="115"/>
      <c r="N62" s="115"/>
      <c r="O62" s="115"/>
      <c r="P62" s="116">
        <f t="shared" si="4"/>
        <v>9243114</v>
      </c>
      <c r="Q62" s="116"/>
      <c r="R62" s="117">
        <f t="shared" si="5"/>
        <v>9243114</v>
      </c>
      <c r="S62" s="117"/>
      <c r="T62" s="117">
        <f t="shared" si="6"/>
        <v>9243114</v>
      </c>
      <c r="U62" s="105"/>
      <c r="V62" s="105"/>
      <c r="W62" s="118">
        <v>9141224</v>
      </c>
      <c r="X62" s="118">
        <v>9141224</v>
      </c>
      <c r="Y62" s="118">
        <v>9141224</v>
      </c>
      <c r="Z62" s="118"/>
      <c r="AA62" s="118"/>
      <c r="AB62" s="118"/>
      <c r="AC62" s="118"/>
      <c r="AD62" s="118"/>
      <c r="AE62" s="118"/>
      <c r="AF62" s="118"/>
      <c r="AG62" s="119">
        <v>101890</v>
      </c>
      <c r="AH62" s="119">
        <v>101890</v>
      </c>
      <c r="AI62" s="119">
        <v>101890</v>
      </c>
      <c r="AJ62" s="110"/>
      <c r="AK62" s="111"/>
      <c r="AL62" s="111"/>
      <c r="AM62" s="119"/>
      <c r="AN62" s="119"/>
      <c r="AO62" s="119"/>
      <c r="AP62" s="119"/>
      <c r="AY62" s="147">
        <f t="shared" si="7"/>
        <v>13685532.6</v>
      </c>
      <c r="AZ62" s="3">
        <v>13685532.6</v>
      </c>
      <c r="BA62" s="190">
        <f t="shared" si="8"/>
        <v>0</v>
      </c>
    </row>
    <row r="63" spans="1:53" ht="110.1" customHeight="1" x14ac:dyDescent="0.25">
      <c r="A63" s="203"/>
      <c r="B63" s="212"/>
      <c r="C63" s="174">
        <f t="shared" si="9"/>
        <v>58</v>
      </c>
      <c r="D63" s="89" t="s">
        <v>116</v>
      </c>
      <c r="E63" s="184">
        <v>320</v>
      </c>
      <c r="F63" s="114">
        <f t="shared" si="12"/>
        <v>78431</v>
      </c>
      <c r="G63" s="114">
        <f t="shared" si="2"/>
        <v>78431</v>
      </c>
      <c r="H63" s="114">
        <f t="shared" si="10"/>
        <v>78431</v>
      </c>
      <c r="I63" s="114">
        <f t="shared" si="3"/>
        <v>25097920</v>
      </c>
      <c r="J63" s="114">
        <f t="shared" si="11"/>
        <v>25097920</v>
      </c>
      <c r="K63" s="114">
        <f t="shared" si="13"/>
        <v>25097920</v>
      </c>
      <c r="L63" s="115"/>
      <c r="M63" s="115"/>
      <c r="N63" s="115"/>
      <c r="O63" s="115"/>
      <c r="P63" s="116">
        <f t="shared" si="4"/>
        <v>25097920</v>
      </c>
      <c r="Q63" s="116"/>
      <c r="R63" s="117">
        <f t="shared" si="5"/>
        <v>25097920</v>
      </c>
      <c r="S63" s="117"/>
      <c r="T63" s="117">
        <f t="shared" si="6"/>
        <v>25097920</v>
      </c>
      <c r="U63" s="105"/>
      <c r="V63" s="105"/>
      <c r="W63" s="118">
        <v>24596320</v>
      </c>
      <c r="X63" s="118">
        <v>24596320</v>
      </c>
      <c r="Y63" s="118">
        <v>24596320</v>
      </c>
      <c r="Z63" s="118"/>
      <c r="AA63" s="118"/>
      <c r="AB63" s="118"/>
      <c r="AC63" s="118"/>
      <c r="AD63" s="118"/>
      <c r="AE63" s="118"/>
      <c r="AF63" s="118"/>
      <c r="AG63" s="119">
        <v>501600</v>
      </c>
      <c r="AH63" s="119">
        <v>501600</v>
      </c>
      <c r="AI63" s="119">
        <v>501600</v>
      </c>
      <c r="AJ63" s="110"/>
      <c r="AK63" s="111"/>
      <c r="AL63" s="111"/>
      <c r="AM63" s="119"/>
      <c r="AN63" s="119"/>
      <c r="AO63" s="119"/>
      <c r="AP63" s="119"/>
      <c r="AY63" s="147">
        <f t="shared" si="7"/>
        <v>34100094.560000002</v>
      </c>
      <c r="AZ63" s="3">
        <v>34100094.560000002</v>
      </c>
      <c r="BA63" s="190">
        <f t="shared" si="8"/>
        <v>0</v>
      </c>
    </row>
    <row r="64" spans="1:53" ht="110.1" customHeight="1" x14ac:dyDescent="0.25">
      <c r="A64" s="203"/>
      <c r="B64" s="212"/>
      <c r="C64" s="174">
        <f t="shared" si="9"/>
        <v>59</v>
      </c>
      <c r="D64" s="89" t="s">
        <v>117</v>
      </c>
      <c r="E64" s="184">
        <v>164</v>
      </c>
      <c r="F64" s="114">
        <f t="shared" si="12"/>
        <v>129891.76219512195</v>
      </c>
      <c r="G64" s="114">
        <f t="shared" si="2"/>
        <v>129891.76219512195</v>
      </c>
      <c r="H64" s="114">
        <f t="shared" si="10"/>
        <v>129891.76219512195</v>
      </c>
      <c r="I64" s="114">
        <f t="shared" si="3"/>
        <v>21302249</v>
      </c>
      <c r="J64" s="114">
        <f t="shared" si="11"/>
        <v>21302249</v>
      </c>
      <c r="K64" s="114">
        <f t="shared" si="13"/>
        <v>21302249</v>
      </c>
      <c r="L64" s="115"/>
      <c r="M64" s="115"/>
      <c r="N64" s="115"/>
      <c r="O64" s="115"/>
      <c r="P64" s="116">
        <f t="shared" si="4"/>
        <v>21302249</v>
      </c>
      <c r="Q64" s="116"/>
      <c r="R64" s="117">
        <f t="shared" si="5"/>
        <v>21302249</v>
      </c>
      <c r="S64" s="117"/>
      <c r="T64" s="117">
        <f t="shared" si="6"/>
        <v>21302249</v>
      </c>
      <c r="U64" s="105"/>
      <c r="V64" s="105"/>
      <c r="W64" s="118">
        <v>21045179</v>
      </c>
      <c r="X64" s="118">
        <v>21045179</v>
      </c>
      <c r="Y64" s="118">
        <v>21045179</v>
      </c>
      <c r="Z64" s="118"/>
      <c r="AA64" s="118"/>
      <c r="AB64" s="118"/>
      <c r="AC64" s="118"/>
      <c r="AD64" s="118"/>
      <c r="AE64" s="118"/>
      <c r="AF64" s="118"/>
      <c r="AG64" s="119">
        <v>257070</v>
      </c>
      <c r="AH64" s="119">
        <v>257070</v>
      </c>
      <c r="AI64" s="119">
        <v>257070</v>
      </c>
      <c r="AJ64" s="110"/>
      <c r="AK64" s="111"/>
      <c r="AL64" s="111"/>
      <c r="AM64" s="119"/>
      <c r="AN64" s="119"/>
      <c r="AO64" s="119"/>
      <c r="AP64" s="119"/>
      <c r="AY64" s="147">
        <f t="shared" si="7"/>
        <v>28168148.420000002</v>
      </c>
      <c r="AZ64" s="3">
        <v>28168148.420000002</v>
      </c>
      <c r="BA64" s="190">
        <f t="shared" si="8"/>
        <v>0</v>
      </c>
    </row>
    <row r="65" spans="1:53" ht="110.1" customHeight="1" x14ac:dyDescent="0.25">
      <c r="A65" s="203"/>
      <c r="B65" s="212"/>
      <c r="C65" s="174">
        <f t="shared" si="9"/>
        <v>60</v>
      </c>
      <c r="D65" s="89" t="s">
        <v>118</v>
      </c>
      <c r="E65" s="184">
        <v>145</v>
      </c>
      <c r="F65" s="114">
        <f t="shared" si="12"/>
        <v>125790.13793103448</v>
      </c>
      <c r="G65" s="114">
        <f t="shared" si="2"/>
        <v>125790.13793103448</v>
      </c>
      <c r="H65" s="114">
        <f t="shared" si="10"/>
        <v>125790.13793103448</v>
      </c>
      <c r="I65" s="114">
        <f t="shared" si="3"/>
        <v>18239570</v>
      </c>
      <c r="J65" s="114">
        <f t="shared" si="11"/>
        <v>18239570</v>
      </c>
      <c r="K65" s="114">
        <f t="shared" si="13"/>
        <v>18239570</v>
      </c>
      <c r="L65" s="115"/>
      <c r="M65" s="115"/>
      <c r="N65" s="115"/>
      <c r="O65" s="115"/>
      <c r="P65" s="116">
        <f t="shared" si="4"/>
        <v>18239570</v>
      </c>
      <c r="Q65" s="116"/>
      <c r="R65" s="117">
        <f t="shared" si="5"/>
        <v>18239570</v>
      </c>
      <c r="S65" s="117"/>
      <c r="T65" s="117">
        <f t="shared" si="6"/>
        <v>18239570</v>
      </c>
      <c r="U65" s="105"/>
      <c r="V65" s="105"/>
      <c r="W65" s="118">
        <v>18012290</v>
      </c>
      <c r="X65" s="118">
        <v>18012290</v>
      </c>
      <c r="Y65" s="118">
        <v>18012290</v>
      </c>
      <c r="Z65" s="118"/>
      <c r="AA65" s="118"/>
      <c r="AB65" s="118"/>
      <c r="AC65" s="118"/>
      <c r="AD65" s="118"/>
      <c r="AE65" s="118"/>
      <c r="AF65" s="118"/>
      <c r="AG65" s="119">
        <v>227280</v>
      </c>
      <c r="AH65" s="119">
        <v>227280</v>
      </c>
      <c r="AI65" s="119">
        <v>227280</v>
      </c>
      <c r="AJ65" s="110"/>
      <c r="AK65" s="111"/>
      <c r="AL65" s="111"/>
      <c r="AM65" s="119"/>
      <c r="AN65" s="119"/>
      <c r="AO65" s="119"/>
      <c r="AP65" s="119"/>
      <c r="AY65" s="147">
        <f t="shared" si="7"/>
        <v>23762906.210000001</v>
      </c>
      <c r="AZ65" s="3">
        <v>23762906.210000001</v>
      </c>
      <c r="BA65" s="190">
        <f t="shared" si="8"/>
        <v>0</v>
      </c>
    </row>
    <row r="66" spans="1:53" ht="110.1" customHeight="1" x14ac:dyDescent="0.25">
      <c r="A66" s="203"/>
      <c r="B66" s="212"/>
      <c r="C66" s="174">
        <f t="shared" si="9"/>
        <v>61</v>
      </c>
      <c r="D66" s="89" t="s">
        <v>119</v>
      </c>
      <c r="E66" s="184">
        <v>167</v>
      </c>
      <c r="F66" s="114">
        <f t="shared" si="12"/>
        <v>136279.00598802394</v>
      </c>
      <c r="G66" s="114">
        <f t="shared" si="2"/>
        <v>136279.00598802394</v>
      </c>
      <c r="H66" s="114">
        <f t="shared" si="10"/>
        <v>136279.00598802394</v>
      </c>
      <c r="I66" s="114">
        <f t="shared" si="3"/>
        <v>22758594</v>
      </c>
      <c r="J66" s="114">
        <f t="shared" si="11"/>
        <v>22758594</v>
      </c>
      <c r="K66" s="114">
        <f t="shared" si="13"/>
        <v>22758594</v>
      </c>
      <c r="L66" s="115"/>
      <c r="M66" s="115"/>
      <c r="N66" s="115"/>
      <c r="O66" s="115"/>
      <c r="P66" s="116">
        <f t="shared" si="4"/>
        <v>22758594</v>
      </c>
      <c r="Q66" s="116"/>
      <c r="R66" s="117">
        <f t="shared" si="5"/>
        <v>22758594</v>
      </c>
      <c r="S66" s="117"/>
      <c r="T66" s="117">
        <f t="shared" si="6"/>
        <v>22758594</v>
      </c>
      <c r="U66" s="105"/>
      <c r="V66" s="105"/>
      <c r="W66" s="118">
        <v>22496814</v>
      </c>
      <c r="X66" s="118">
        <v>22496814</v>
      </c>
      <c r="Y66" s="118">
        <v>22496814</v>
      </c>
      <c r="Z66" s="118"/>
      <c r="AA66" s="118"/>
      <c r="AB66" s="118"/>
      <c r="AC66" s="118"/>
      <c r="AD66" s="118"/>
      <c r="AE66" s="118"/>
      <c r="AF66" s="118"/>
      <c r="AG66" s="119">
        <v>261780</v>
      </c>
      <c r="AH66" s="119">
        <v>261780</v>
      </c>
      <c r="AI66" s="119">
        <v>261780</v>
      </c>
      <c r="AJ66" s="110"/>
      <c r="AK66" s="111"/>
      <c r="AL66" s="111"/>
      <c r="AM66" s="119"/>
      <c r="AN66" s="119"/>
      <c r="AO66" s="119"/>
      <c r="AP66" s="119"/>
      <c r="AY66" s="147">
        <f t="shared" si="7"/>
        <v>29615362.859999999</v>
      </c>
      <c r="AZ66" s="3">
        <v>29615362.859999999</v>
      </c>
      <c r="BA66" s="190">
        <f t="shared" si="8"/>
        <v>0</v>
      </c>
    </row>
    <row r="67" spans="1:53" ht="110.1" customHeight="1" x14ac:dyDescent="0.25">
      <c r="A67" s="203"/>
      <c r="B67" s="212"/>
      <c r="C67" s="174">
        <f t="shared" si="9"/>
        <v>62</v>
      </c>
      <c r="D67" s="89" t="s">
        <v>230</v>
      </c>
      <c r="E67" s="184">
        <v>420</v>
      </c>
      <c r="F67" s="114">
        <f t="shared" si="12"/>
        <v>82899.442857142858</v>
      </c>
      <c r="G67" s="114">
        <f t="shared" si="2"/>
        <v>82899.442857142858</v>
      </c>
      <c r="H67" s="114">
        <f t="shared" si="10"/>
        <v>82899.442857142858</v>
      </c>
      <c r="I67" s="114">
        <f t="shared" si="3"/>
        <v>34817766</v>
      </c>
      <c r="J67" s="114">
        <f t="shared" si="11"/>
        <v>34817766</v>
      </c>
      <c r="K67" s="114">
        <f t="shared" si="13"/>
        <v>34817766</v>
      </c>
      <c r="L67" s="115"/>
      <c r="M67" s="115"/>
      <c r="N67" s="115"/>
      <c r="O67" s="115"/>
      <c r="P67" s="116">
        <f t="shared" si="4"/>
        <v>34817766</v>
      </c>
      <c r="Q67" s="116"/>
      <c r="R67" s="117">
        <f t="shared" si="5"/>
        <v>34817766</v>
      </c>
      <c r="S67" s="117"/>
      <c r="T67" s="117">
        <f t="shared" si="6"/>
        <v>34817766</v>
      </c>
      <c r="U67" s="105"/>
      <c r="V67" s="105"/>
      <c r="W67" s="118">
        <v>34159416</v>
      </c>
      <c r="X67" s="118">
        <v>34159416</v>
      </c>
      <c r="Y67" s="118">
        <v>34159416</v>
      </c>
      <c r="Z67" s="118"/>
      <c r="AA67" s="118"/>
      <c r="AB67" s="118"/>
      <c r="AC67" s="118"/>
      <c r="AD67" s="118"/>
      <c r="AE67" s="118"/>
      <c r="AF67" s="118"/>
      <c r="AG67" s="119">
        <v>658350</v>
      </c>
      <c r="AH67" s="119">
        <v>658350</v>
      </c>
      <c r="AI67" s="119">
        <v>658350</v>
      </c>
      <c r="AJ67" s="110"/>
      <c r="AK67" s="111"/>
      <c r="AL67" s="111"/>
      <c r="AM67" s="119"/>
      <c r="AN67" s="119"/>
      <c r="AO67" s="119"/>
      <c r="AP67" s="119"/>
      <c r="AY67" s="147">
        <f t="shared" si="7"/>
        <v>48983749.090000004</v>
      </c>
      <c r="AZ67" s="3">
        <v>48983749.090000004</v>
      </c>
      <c r="BA67" s="190">
        <f t="shared" si="8"/>
        <v>0</v>
      </c>
    </row>
    <row r="68" spans="1:53" ht="110.1" customHeight="1" x14ac:dyDescent="0.25">
      <c r="A68" s="203"/>
      <c r="B68" s="212"/>
      <c r="C68" s="174">
        <f t="shared" si="9"/>
        <v>63</v>
      </c>
      <c r="D68" s="89" t="s">
        <v>121</v>
      </c>
      <c r="E68" s="184">
        <v>173</v>
      </c>
      <c r="F68" s="114">
        <f t="shared" si="12"/>
        <v>133916.89595375722</v>
      </c>
      <c r="G68" s="114">
        <f t="shared" si="2"/>
        <v>133916.89595375722</v>
      </c>
      <c r="H68" s="114">
        <f t="shared" si="10"/>
        <v>133916.89595375722</v>
      </c>
      <c r="I68" s="114">
        <f t="shared" si="3"/>
        <v>23167623</v>
      </c>
      <c r="J68" s="114">
        <f t="shared" si="11"/>
        <v>23167623</v>
      </c>
      <c r="K68" s="114">
        <f t="shared" si="13"/>
        <v>23167623</v>
      </c>
      <c r="L68" s="115"/>
      <c r="M68" s="115"/>
      <c r="N68" s="115"/>
      <c r="O68" s="115"/>
      <c r="P68" s="116">
        <f t="shared" si="4"/>
        <v>23167623</v>
      </c>
      <c r="Q68" s="116"/>
      <c r="R68" s="117">
        <f t="shared" si="5"/>
        <v>23167623</v>
      </c>
      <c r="S68" s="117"/>
      <c r="T68" s="117">
        <f t="shared" si="6"/>
        <v>23167623</v>
      </c>
      <c r="U68" s="105"/>
      <c r="V68" s="105"/>
      <c r="W68" s="118">
        <v>22896446</v>
      </c>
      <c r="X68" s="118">
        <v>22896446</v>
      </c>
      <c r="Y68" s="118">
        <v>22896446</v>
      </c>
      <c r="Z68" s="118"/>
      <c r="AA68" s="118"/>
      <c r="AB68" s="118"/>
      <c r="AC68" s="118"/>
      <c r="AD68" s="118"/>
      <c r="AE68" s="118"/>
      <c r="AF68" s="118"/>
      <c r="AG68" s="119">
        <v>271177</v>
      </c>
      <c r="AH68" s="119">
        <v>271177</v>
      </c>
      <c r="AI68" s="119">
        <v>271177</v>
      </c>
      <c r="AJ68" s="110"/>
      <c r="AK68" s="111"/>
      <c r="AL68" s="111"/>
      <c r="AM68" s="119"/>
      <c r="AN68" s="119"/>
      <c r="AO68" s="119"/>
      <c r="AP68" s="119"/>
      <c r="AY68" s="147">
        <f t="shared" si="7"/>
        <v>29519174.240000002</v>
      </c>
      <c r="AZ68" s="3">
        <v>29519174.239999998</v>
      </c>
      <c r="BA68" s="190">
        <f t="shared" si="8"/>
        <v>0</v>
      </c>
    </row>
    <row r="69" spans="1:53" ht="110.1" customHeight="1" x14ac:dyDescent="0.25">
      <c r="A69" s="203"/>
      <c r="B69" s="212"/>
      <c r="C69" s="174">
        <f t="shared" si="9"/>
        <v>64</v>
      </c>
      <c r="D69" s="89" t="s">
        <v>231</v>
      </c>
      <c r="E69" s="184">
        <v>306</v>
      </c>
      <c r="F69" s="114">
        <f t="shared" si="12"/>
        <v>94626.947712418303</v>
      </c>
      <c r="G69" s="114">
        <f t="shared" si="2"/>
        <v>94626.947712418303</v>
      </c>
      <c r="H69" s="114">
        <f t="shared" si="10"/>
        <v>94626.947712418303</v>
      </c>
      <c r="I69" s="114">
        <f t="shared" si="3"/>
        <v>28955846</v>
      </c>
      <c r="J69" s="114">
        <f t="shared" si="11"/>
        <v>28955846</v>
      </c>
      <c r="K69" s="114">
        <f t="shared" si="13"/>
        <v>28955846</v>
      </c>
      <c r="L69" s="115"/>
      <c r="M69" s="115"/>
      <c r="N69" s="115"/>
      <c r="O69" s="115"/>
      <c r="P69" s="116">
        <f t="shared" si="4"/>
        <v>28955846</v>
      </c>
      <c r="Q69" s="116"/>
      <c r="R69" s="117">
        <f t="shared" si="5"/>
        <v>28955846</v>
      </c>
      <c r="S69" s="117"/>
      <c r="T69" s="117">
        <f t="shared" si="6"/>
        <v>28955846</v>
      </c>
      <c r="U69" s="105"/>
      <c r="V69" s="105"/>
      <c r="W69" s="118">
        <v>28476191</v>
      </c>
      <c r="X69" s="118">
        <v>28476191</v>
      </c>
      <c r="Y69" s="118">
        <v>28476191</v>
      </c>
      <c r="Z69" s="118"/>
      <c r="AA69" s="118"/>
      <c r="AB69" s="118"/>
      <c r="AC69" s="118"/>
      <c r="AD69" s="118"/>
      <c r="AE69" s="118"/>
      <c r="AF69" s="118"/>
      <c r="AG69" s="119">
        <v>479655</v>
      </c>
      <c r="AH69" s="119">
        <v>479655</v>
      </c>
      <c r="AI69" s="119">
        <v>479655</v>
      </c>
      <c r="AJ69" s="110"/>
      <c r="AK69" s="111"/>
      <c r="AL69" s="111"/>
      <c r="AM69" s="119"/>
      <c r="AN69" s="119"/>
      <c r="AO69" s="119"/>
      <c r="AP69" s="119"/>
      <c r="AY69" s="147">
        <f t="shared" si="7"/>
        <v>39707410.700000003</v>
      </c>
      <c r="AZ69" s="3">
        <v>39707410.700000003</v>
      </c>
      <c r="BA69" s="190">
        <f t="shared" si="8"/>
        <v>0</v>
      </c>
    </row>
    <row r="70" spans="1:53" ht="110.1" customHeight="1" x14ac:dyDescent="0.25">
      <c r="A70" s="203"/>
      <c r="B70" s="212"/>
      <c r="C70" s="174">
        <f t="shared" si="9"/>
        <v>65</v>
      </c>
      <c r="D70" s="89" t="s">
        <v>16</v>
      </c>
      <c r="E70" s="184">
        <v>360</v>
      </c>
      <c r="F70" s="114">
        <f t="shared" ref="F70:F72" si="14">I70/E70</f>
        <v>68993.366666666669</v>
      </c>
      <c r="G70" s="114">
        <f t="shared" si="2"/>
        <v>68993.366666666669</v>
      </c>
      <c r="H70" s="114">
        <f t="shared" si="10"/>
        <v>68993.366666666669</v>
      </c>
      <c r="I70" s="114">
        <f t="shared" si="3"/>
        <v>24837612</v>
      </c>
      <c r="J70" s="114">
        <f t="shared" si="11"/>
        <v>24837612</v>
      </c>
      <c r="K70" s="114">
        <f t="shared" si="13"/>
        <v>24837612</v>
      </c>
      <c r="L70" s="115"/>
      <c r="M70" s="115"/>
      <c r="N70" s="115"/>
      <c r="O70" s="115"/>
      <c r="P70" s="116">
        <f t="shared" si="4"/>
        <v>24837612</v>
      </c>
      <c r="Q70" s="116"/>
      <c r="R70" s="117">
        <f t="shared" si="5"/>
        <v>24837612</v>
      </c>
      <c r="S70" s="117"/>
      <c r="T70" s="117">
        <f t="shared" si="6"/>
        <v>24837612</v>
      </c>
      <c r="U70" s="105"/>
      <c r="V70" s="105"/>
      <c r="W70" s="118">
        <v>24273272</v>
      </c>
      <c r="X70" s="118">
        <v>24273272</v>
      </c>
      <c r="Y70" s="118">
        <v>24273272</v>
      </c>
      <c r="Z70" s="118"/>
      <c r="AA70" s="118"/>
      <c r="AB70" s="118"/>
      <c r="AC70" s="118"/>
      <c r="AD70" s="118"/>
      <c r="AE70" s="118"/>
      <c r="AF70" s="118"/>
      <c r="AG70" s="119">
        <v>564340</v>
      </c>
      <c r="AH70" s="119">
        <v>564340</v>
      </c>
      <c r="AI70" s="119">
        <v>564340</v>
      </c>
      <c r="AJ70" s="110"/>
      <c r="AK70" s="111"/>
      <c r="AL70" s="111"/>
      <c r="AM70" s="119"/>
      <c r="AN70" s="119"/>
      <c r="AO70" s="119"/>
      <c r="AP70" s="119"/>
      <c r="AY70" s="147">
        <f t="shared" si="7"/>
        <v>36931166.200000003</v>
      </c>
      <c r="AZ70" s="3">
        <v>36931166.200000003</v>
      </c>
      <c r="BA70" s="190">
        <f t="shared" si="8"/>
        <v>0</v>
      </c>
    </row>
    <row r="71" spans="1:53" ht="110.1" customHeight="1" x14ac:dyDescent="0.25">
      <c r="A71" s="203"/>
      <c r="B71" s="212"/>
      <c r="C71" s="174">
        <f t="shared" si="9"/>
        <v>66</v>
      </c>
      <c r="D71" s="89" t="s">
        <v>123</v>
      </c>
      <c r="E71" s="184">
        <v>408</v>
      </c>
      <c r="F71" s="114">
        <f t="shared" si="14"/>
        <v>69258.308823529413</v>
      </c>
      <c r="G71" s="114">
        <f t="shared" ref="G71:G72" si="15">J71/E71</f>
        <v>69258.308823529413</v>
      </c>
      <c r="H71" s="114">
        <f t="shared" ref="H71:H73" si="16">K71/E71</f>
        <v>69258.308823529413</v>
      </c>
      <c r="I71" s="114">
        <f t="shared" ref="I71:I73" si="17">P71-L71</f>
        <v>28257390</v>
      </c>
      <c r="J71" s="114">
        <f>R71-N71</f>
        <v>28257390</v>
      </c>
      <c r="K71" s="114">
        <f t="shared" si="13"/>
        <v>28257390</v>
      </c>
      <c r="L71" s="115"/>
      <c r="M71" s="115"/>
      <c r="N71" s="115"/>
      <c r="O71" s="115"/>
      <c r="P71" s="116">
        <f t="shared" ref="P71:P73" si="18">W71+AG71</f>
        <v>28257390</v>
      </c>
      <c r="Q71" s="116"/>
      <c r="R71" s="117">
        <f t="shared" ref="R71:R134" si="19">P71</f>
        <v>28257390</v>
      </c>
      <c r="S71" s="117"/>
      <c r="T71" s="117">
        <f t="shared" ref="T71:T134" si="20">P71</f>
        <v>28257390</v>
      </c>
      <c r="U71" s="105"/>
      <c r="V71" s="105"/>
      <c r="W71" s="118">
        <v>27617850</v>
      </c>
      <c r="X71" s="118">
        <v>27617850</v>
      </c>
      <c r="Y71" s="118">
        <v>27617850</v>
      </c>
      <c r="Z71" s="118"/>
      <c r="AA71" s="118"/>
      <c r="AB71" s="118"/>
      <c r="AC71" s="118"/>
      <c r="AD71" s="118"/>
      <c r="AE71" s="118"/>
      <c r="AF71" s="118"/>
      <c r="AG71" s="119">
        <v>639540</v>
      </c>
      <c r="AH71" s="119">
        <v>639540</v>
      </c>
      <c r="AI71" s="119">
        <v>639540</v>
      </c>
      <c r="AJ71" s="110"/>
      <c r="AK71" s="111"/>
      <c r="AL71" s="111"/>
      <c r="AM71" s="119"/>
      <c r="AN71" s="119"/>
      <c r="AO71" s="119"/>
      <c r="AP71" s="119"/>
      <c r="AY71" s="147">
        <f t="shared" ref="AY71:AY73" si="21">P71+P140</f>
        <v>41175961.240000002</v>
      </c>
      <c r="AZ71" s="3">
        <v>41175961.240000002</v>
      </c>
      <c r="BA71" s="190">
        <f t="shared" ref="BA71:BA74" si="22">AZ71-AY71</f>
        <v>0</v>
      </c>
    </row>
    <row r="72" spans="1:53" ht="110.1" customHeight="1" x14ac:dyDescent="0.25">
      <c r="A72" s="203"/>
      <c r="B72" s="212"/>
      <c r="C72" s="174">
        <f t="shared" si="9"/>
        <v>67</v>
      </c>
      <c r="D72" s="89" t="s">
        <v>232</v>
      </c>
      <c r="E72" s="184">
        <v>56</v>
      </c>
      <c r="F72" s="114">
        <f t="shared" si="14"/>
        <v>142926.41071428571</v>
      </c>
      <c r="G72" s="114">
        <f t="shared" si="15"/>
        <v>142926.41071428571</v>
      </c>
      <c r="H72" s="114">
        <f t="shared" si="16"/>
        <v>142926.41071428571</v>
      </c>
      <c r="I72" s="114">
        <f t="shared" si="17"/>
        <v>8003879</v>
      </c>
      <c r="J72" s="114">
        <f t="shared" ref="J72" si="23">R72-N72</f>
        <v>8003879</v>
      </c>
      <c r="K72" s="114">
        <f t="shared" si="13"/>
        <v>8003879</v>
      </c>
      <c r="L72" s="115"/>
      <c r="M72" s="115"/>
      <c r="N72" s="115"/>
      <c r="O72" s="115"/>
      <c r="P72" s="116">
        <f t="shared" si="18"/>
        <v>8003879</v>
      </c>
      <c r="Q72" s="116"/>
      <c r="R72" s="117">
        <f t="shared" si="19"/>
        <v>8003879</v>
      </c>
      <c r="S72" s="117"/>
      <c r="T72" s="117">
        <f t="shared" si="20"/>
        <v>8003879</v>
      </c>
      <c r="U72" s="105"/>
      <c r="V72" s="105"/>
      <c r="W72" s="118">
        <v>7916089</v>
      </c>
      <c r="X72" s="118">
        <v>7916089</v>
      </c>
      <c r="Y72" s="118">
        <v>7916089</v>
      </c>
      <c r="Z72" s="118"/>
      <c r="AA72" s="118"/>
      <c r="AB72" s="118"/>
      <c r="AC72" s="118"/>
      <c r="AD72" s="118"/>
      <c r="AE72" s="118"/>
      <c r="AF72" s="118"/>
      <c r="AG72" s="119">
        <v>87790</v>
      </c>
      <c r="AH72" s="119">
        <v>87790</v>
      </c>
      <c r="AI72" s="119">
        <v>87790</v>
      </c>
      <c r="AJ72" s="110"/>
      <c r="AK72" s="111"/>
      <c r="AL72" s="111"/>
      <c r="AM72" s="119"/>
      <c r="AN72" s="119"/>
      <c r="AO72" s="119"/>
      <c r="AP72" s="119"/>
      <c r="AY72" s="147">
        <f t="shared" si="21"/>
        <v>11907771.939999999</v>
      </c>
      <c r="AZ72" s="3">
        <v>11907771.939999999</v>
      </c>
      <c r="BA72" s="190">
        <f t="shared" si="22"/>
        <v>0</v>
      </c>
    </row>
    <row r="73" spans="1:53" ht="110.1" customHeight="1" x14ac:dyDescent="0.25">
      <c r="A73" s="203"/>
      <c r="B73" s="212"/>
      <c r="C73" s="174">
        <f t="shared" ref="C73" si="24">C72+1</f>
        <v>68</v>
      </c>
      <c r="D73" s="89" t="s">
        <v>233</v>
      </c>
      <c r="E73" s="184">
        <v>110</v>
      </c>
      <c r="F73" s="114">
        <f>I73/E73</f>
        <v>96581.536363636362</v>
      </c>
      <c r="G73" s="114">
        <f>J73/E73</f>
        <v>96581.536363636362</v>
      </c>
      <c r="H73" s="114">
        <f t="shared" si="16"/>
        <v>96581.536363636362</v>
      </c>
      <c r="I73" s="114">
        <f t="shared" si="17"/>
        <v>10623969</v>
      </c>
      <c r="J73" s="114">
        <f>R73-N73</f>
        <v>10623969</v>
      </c>
      <c r="K73" s="114">
        <f t="shared" si="13"/>
        <v>10623969</v>
      </c>
      <c r="L73" s="115"/>
      <c r="M73" s="115"/>
      <c r="N73" s="115"/>
      <c r="O73" s="115"/>
      <c r="P73" s="116">
        <f t="shared" si="18"/>
        <v>10623969</v>
      </c>
      <c r="Q73" s="116"/>
      <c r="R73" s="117">
        <f t="shared" si="19"/>
        <v>10623969</v>
      </c>
      <c r="S73" s="117"/>
      <c r="T73" s="117">
        <f t="shared" si="20"/>
        <v>10623969</v>
      </c>
      <c r="U73" s="105"/>
      <c r="V73" s="105"/>
      <c r="W73" s="118">
        <v>10451544</v>
      </c>
      <c r="X73" s="118">
        <v>10451544</v>
      </c>
      <c r="Y73" s="118">
        <v>10451544</v>
      </c>
      <c r="Z73" s="118"/>
      <c r="AA73" s="118"/>
      <c r="AB73" s="118"/>
      <c r="AC73" s="118"/>
      <c r="AD73" s="118"/>
      <c r="AE73" s="118"/>
      <c r="AF73" s="118"/>
      <c r="AG73" s="119">
        <v>172425</v>
      </c>
      <c r="AH73" s="119">
        <v>172425</v>
      </c>
      <c r="AI73" s="119">
        <v>172425</v>
      </c>
      <c r="AJ73" s="110"/>
      <c r="AK73" s="111"/>
      <c r="AL73" s="111"/>
      <c r="AM73" s="119"/>
      <c r="AN73" s="119"/>
      <c r="AO73" s="119"/>
      <c r="AP73" s="119"/>
      <c r="AY73" s="147">
        <f t="shared" si="21"/>
        <v>14892706.529999999</v>
      </c>
      <c r="AZ73" s="3">
        <v>14892706.529999999</v>
      </c>
      <c r="BA73" s="190">
        <f t="shared" si="22"/>
        <v>0</v>
      </c>
    </row>
    <row r="74" spans="1:53" s="126" customFormat="1" ht="41.25" customHeight="1" x14ac:dyDescent="0.25">
      <c r="A74" s="176"/>
      <c r="B74" s="174" t="s">
        <v>151</v>
      </c>
      <c r="C74" s="174"/>
      <c r="D74" s="122"/>
      <c r="E74" s="185">
        <f>SUM(E6:E73)</f>
        <v>14060</v>
      </c>
      <c r="F74" s="123"/>
      <c r="G74" s="123"/>
      <c r="H74" s="123"/>
      <c r="I74" s="123">
        <f>SUM(I6:I73)</f>
        <v>1324441000</v>
      </c>
      <c r="J74" s="123">
        <f t="shared" ref="J74:Y74" si="25">SUM(J6:J73)</f>
        <v>1324441000</v>
      </c>
      <c r="K74" s="123">
        <f t="shared" si="25"/>
        <v>1324441000</v>
      </c>
      <c r="L74" s="123"/>
      <c r="M74" s="123"/>
      <c r="N74" s="123"/>
      <c r="O74" s="123"/>
      <c r="P74" s="123">
        <f t="shared" si="25"/>
        <v>1324441000</v>
      </c>
      <c r="Q74" s="123"/>
      <c r="R74" s="192">
        <f t="shared" si="19"/>
        <v>1324441000</v>
      </c>
      <c r="S74" s="192"/>
      <c r="T74" s="192">
        <f t="shared" si="20"/>
        <v>1324441000</v>
      </c>
      <c r="U74" s="123">
        <f t="shared" si="25"/>
        <v>0</v>
      </c>
      <c r="V74" s="123">
        <f t="shared" si="25"/>
        <v>0</v>
      </c>
      <c r="W74" s="123">
        <f t="shared" si="25"/>
        <v>1302390000</v>
      </c>
      <c r="X74" s="123">
        <f t="shared" si="25"/>
        <v>1302390000</v>
      </c>
      <c r="Y74" s="123">
        <f t="shared" si="25"/>
        <v>1302390000</v>
      </c>
      <c r="Z74" s="123"/>
      <c r="AA74" s="123"/>
      <c r="AB74" s="123"/>
      <c r="AC74" s="123"/>
      <c r="AD74" s="123"/>
      <c r="AE74" s="123"/>
      <c r="AF74" s="123"/>
      <c r="AG74" s="123">
        <f t="shared" ref="AG74" si="26">SUM(AG6:AG73)</f>
        <v>22051000</v>
      </c>
      <c r="AH74" s="123">
        <f t="shared" ref="AH74" si="27">SUM(AH6:AH73)</f>
        <v>22051000</v>
      </c>
      <c r="AI74" s="123">
        <f t="shared" ref="AI74" si="28">SUM(AI6:AI73)</f>
        <v>22051000</v>
      </c>
      <c r="AJ74" s="178"/>
      <c r="AK74" s="124"/>
      <c r="AL74" s="124"/>
      <c r="AM74" s="125"/>
      <c r="AN74" s="125"/>
      <c r="AO74" s="125"/>
      <c r="AP74" s="125"/>
      <c r="AY74" s="189">
        <f>SUM(AY6:AY73)</f>
        <v>1885613099.9999995</v>
      </c>
      <c r="AZ74" s="188">
        <f>SUM(AZ6:AZ73)</f>
        <v>1885613099.9999995</v>
      </c>
      <c r="BA74" s="190">
        <f t="shared" si="22"/>
        <v>0</v>
      </c>
    </row>
    <row r="75" spans="1:53" ht="110.1" customHeight="1" x14ac:dyDescent="0.25">
      <c r="A75" s="203" t="s">
        <v>145</v>
      </c>
      <c r="B75" s="204" t="s">
        <v>240</v>
      </c>
      <c r="C75" s="174">
        <v>1</v>
      </c>
      <c r="D75" s="112" t="s">
        <v>71</v>
      </c>
      <c r="E75" s="184">
        <v>145</v>
      </c>
      <c r="F75" s="114">
        <f>I75/E75</f>
        <v>37312.338137931038</v>
      </c>
      <c r="G75" s="114">
        <f>J75/E75</f>
        <v>37312.338137931038</v>
      </c>
      <c r="H75" s="114">
        <f>K75/E75</f>
        <v>37312.338137931038</v>
      </c>
      <c r="I75" s="114">
        <f>P75-L75</f>
        <v>5410289.0300000003</v>
      </c>
      <c r="J75" s="114">
        <f>R75-N75</f>
        <v>5410289.0300000003</v>
      </c>
      <c r="K75" s="114">
        <f t="shared" ref="K75:K106" si="29">T75-O75</f>
        <v>5410289.0300000003</v>
      </c>
      <c r="L75" s="115">
        <v>817540</v>
      </c>
      <c r="M75" s="115"/>
      <c r="N75" s="115">
        <v>817540</v>
      </c>
      <c r="O75" s="115">
        <v>817540</v>
      </c>
      <c r="P75" s="116">
        <f>AM75</f>
        <v>6227829.0300000003</v>
      </c>
      <c r="Q75" s="116">
        <f t="shared" ref="Q75:Q90" si="30">AN75</f>
        <v>0</v>
      </c>
      <c r="R75" s="117">
        <f t="shared" si="19"/>
        <v>6227829.0300000003</v>
      </c>
      <c r="S75" s="117"/>
      <c r="T75" s="117">
        <f t="shared" si="20"/>
        <v>6227829.0300000003</v>
      </c>
      <c r="U75" s="105"/>
      <c r="V75" s="105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9"/>
      <c r="AH75" s="119"/>
      <c r="AI75" s="119"/>
      <c r="AJ75" s="110"/>
      <c r="AK75" s="111"/>
      <c r="AL75" s="111"/>
      <c r="AM75" s="119">
        <f>6227229.03+600</f>
        <v>6227829.0300000003</v>
      </c>
      <c r="AN75" s="119"/>
      <c r="AO75" s="119">
        <v>6227229.0300000003</v>
      </c>
      <c r="AP75" s="119">
        <v>6227229.0300000003</v>
      </c>
    </row>
    <row r="76" spans="1:53" ht="110.1" customHeight="1" x14ac:dyDescent="0.25">
      <c r="A76" s="203"/>
      <c r="B76" s="204"/>
      <c r="C76" s="174">
        <f>C75+1</f>
        <v>2</v>
      </c>
      <c r="D76" s="112" t="s">
        <v>72</v>
      </c>
      <c r="E76" s="184">
        <v>173</v>
      </c>
      <c r="F76" s="114">
        <f t="shared" ref="F76:F139" si="31">I76/E76</f>
        <v>36079.338034682085</v>
      </c>
      <c r="G76" s="114">
        <f t="shared" ref="G76:G139" si="32">J76/E76</f>
        <v>36079.338034682085</v>
      </c>
      <c r="H76" s="114">
        <f t="shared" ref="H76:H139" si="33">K76/E76</f>
        <v>36079.338034682085</v>
      </c>
      <c r="I76" s="114">
        <f t="shared" ref="I76:I139" si="34">P76-L76</f>
        <v>6241725.4800000004</v>
      </c>
      <c r="J76" s="114">
        <f t="shared" ref="J76:J139" si="35">R76-N76</f>
        <v>6241725.4800000004</v>
      </c>
      <c r="K76" s="114">
        <f t="shared" si="29"/>
        <v>6241725.4800000004</v>
      </c>
      <c r="L76" s="115">
        <v>3641160</v>
      </c>
      <c r="M76" s="115"/>
      <c r="N76" s="115">
        <v>3641160</v>
      </c>
      <c r="O76" s="115">
        <v>3641160</v>
      </c>
      <c r="P76" s="116">
        <f t="shared" ref="P76:P139" si="36">AM76</f>
        <v>9882885.4800000004</v>
      </c>
      <c r="Q76" s="116">
        <f t="shared" si="30"/>
        <v>0</v>
      </c>
      <c r="R76" s="117">
        <f t="shared" si="19"/>
        <v>9882885.4800000004</v>
      </c>
      <c r="S76" s="117"/>
      <c r="T76" s="117">
        <f t="shared" si="20"/>
        <v>9882885.4800000004</v>
      </c>
      <c r="U76" s="105"/>
      <c r="V76" s="105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9"/>
      <c r="AH76" s="119"/>
      <c r="AI76" s="119"/>
      <c r="AJ76" s="110"/>
      <c r="AK76" s="111"/>
      <c r="AL76" s="111"/>
      <c r="AM76" s="135">
        <f>9880485.48+2400</f>
        <v>9882885.4800000004</v>
      </c>
      <c r="AN76" s="119"/>
      <c r="AO76" s="119">
        <v>9880485.4800000004</v>
      </c>
      <c r="AP76" s="119">
        <v>9880485.4800000004</v>
      </c>
    </row>
    <row r="77" spans="1:53" ht="110.1" customHeight="1" x14ac:dyDescent="0.25">
      <c r="A77" s="203"/>
      <c r="B77" s="204"/>
      <c r="C77" s="174">
        <f t="shared" ref="C77:C140" si="37">C76+1</f>
        <v>3</v>
      </c>
      <c r="D77" s="120" t="s">
        <v>73</v>
      </c>
      <c r="E77" s="184">
        <v>330</v>
      </c>
      <c r="F77" s="114">
        <f t="shared" si="31"/>
        <v>29582.044666666668</v>
      </c>
      <c r="G77" s="114">
        <f t="shared" si="32"/>
        <v>29582.044666666668</v>
      </c>
      <c r="H77" s="114">
        <f t="shared" si="33"/>
        <v>29582.044666666668</v>
      </c>
      <c r="I77" s="114">
        <f t="shared" si="34"/>
        <v>9762074.7400000002</v>
      </c>
      <c r="J77" s="114">
        <f t="shared" si="35"/>
        <v>9762074.7400000002</v>
      </c>
      <c r="K77" s="114">
        <f t="shared" si="29"/>
        <v>9762074.7400000002</v>
      </c>
      <c r="L77" s="115">
        <v>1178310</v>
      </c>
      <c r="M77" s="115"/>
      <c r="N77" s="115">
        <v>1178310</v>
      </c>
      <c r="O77" s="115">
        <v>1178310</v>
      </c>
      <c r="P77" s="116">
        <f t="shared" si="36"/>
        <v>10940384.74</v>
      </c>
      <c r="Q77" s="116">
        <f t="shared" si="30"/>
        <v>0</v>
      </c>
      <c r="R77" s="117">
        <f t="shared" si="19"/>
        <v>10940384.74</v>
      </c>
      <c r="S77" s="117"/>
      <c r="T77" s="117">
        <f t="shared" si="20"/>
        <v>10940384.74</v>
      </c>
      <c r="U77" s="105"/>
      <c r="V77" s="105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9"/>
      <c r="AH77" s="119"/>
      <c r="AI77" s="119"/>
      <c r="AJ77" s="110"/>
      <c r="AK77" s="111"/>
      <c r="AL77" s="111"/>
      <c r="AM77" s="119">
        <v>10940384.74</v>
      </c>
      <c r="AN77" s="119"/>
      <c r="AO77" s="119">
        <v>10940384.74</v>
      </c>
      <c r="AP77" s="119">
        <v>10940384.74</v>
      </c>
    </row>
    <row r="78" spans="1:53" ht="110.1" customHeight="1" x14ac:dyDescent="0.25">
      <c r="A78" s="203"/>
      <c r="B78" s="204"/>
      <c r="C78" s="174">
        <f t="shared" si="37"/>
        <v>4</v>
      </c>
      <c r="D78" s="121" t="s">
        <v>172</v>
      </c>
      <c r="E78" s="184">
        <v>233</v>
      </c>
      <c r="F78" s="114">
        <f t="shared" si="31"/>
        <v>38961.54</v>
      </c>
      <c r="G78" s="114">
        <f t="shared" si="32"/>
        <v>38961.54</v>
      </c>
      <c r="H78" s="114">
        <f t="shared" si="33"/>
        <v>38961.54</v>
      </c>
      <c r="I78" s="114">
        <f t="shared" si="34"/>
        <v>9078038.8200000003</v>
      </c>
      <c r="J78" s="114">
        <f t="shared" si="35"/>
        <v>9078038.8200000003</v>
      </c>
      <c r="K78" s="114">
        <f t="shared" si="29"/>
        <v>9078038.8200000003</v>
      </c>
      <c r="L78" s="115">
        <v>5010560</v>
      </c>
      <c r="M78" s="115"/>
      <c r="N78" s="115">
        <v>5010560</v>
      </c>
      <c r="O78" s="115">
        <v>5010560</v>
      </c>
      <c r="P78" s="116">
        <f t="shared" si="36"/>
        <v>14088598.82</v>
      </c>
      <c r="Q78" s="116">
        <f t="shared" si="30"/>
        <v>0</v>
      </c>
      <c r="R78" s="117">
        <f t="shared" si="19"/>
        <v>14088598.82</v>
      </c>
      <c r="S78" s="117"/>
      <c r="T78" s="117">
        <f t="shared" si="20"/>
        <v>14088598.82</v>
      </c>
      <c r="U78" s="105"/>
      <c r="V78" s="105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9"/>
      <c r="AH78" s="119"/>
      <c r="AI78" s="119"/>
      <c r="AJ78" s="110"/>
      <c r="AK78" s="111"/>
      <c r="AL78" s="111"/>
      <c r="AM78" s="119">
        <f>14087998.82+600</f>
        <v>14088598.82</v>
      </c>
      <c r="AN78" s="119"/>
      <c r="AO78" s="119">
        <v>14087998.82</v>
      </c>
      <c r="AP78" s="119">
        <v>14087998.82</v>
      </c>
      <c r="AT78" s="197"/>
      <c r="AU78" s="198"/>
      <c r="AV78" s="198"/>
    </row>
    <row r="79" spans="1:53" ht="110.1" customHeight="1" x14ac:dyDescent="0.25">
      <c r="A79" s="203"/>
      <c r="B79" s="204"/>
      <c r="C79" s="174">
        <f t="shared" si="37"/>
        <v>5</v>
      </c>
      <c r="D79" s="89" t="s">
        <v>213</v>
      </c>
      <c r="E79" s="184">
        <v>130</v>
      </c>
      <c r="F79" s="114">
        <f t="shared" si="31"/>
        <v>37752.931461538457</v>
      </c>
      <c r="G79" s="114">
        <f t="shared" si="32"/>
        <v>37752.931461538457</v>
      </c>
      <c r="H79" s="114">
        <f t="shared" si="33"/>
        <v>37752.931461538457</v>
      </c>
      <c r="I79" s="114">
        <f t="shared" si="34"/>
        <v>4907881.09</v>
      </c>
      <c r="J79" s="114">
        <f t="shared" si="35"/>
        <v>4907881.09</v>
      </c>
      <c r="K79" s="114">
        <f t="shared" si="29"/>
        <v>4907881.09</v>
      </c>
      <c r="L79" s="115">
        <v>679180</v>
      </c>
      <c r="M79" s="115"/>
      <c r="N79" s="115">
        <v>679180</v>
      </c>
      <c r="O79" s="115">
        <v>679180</v>
      </c>
      <c r="P79" s="116">
        <f t="shared" si="36"/>
        <v>5587061.0899999999</v>
      </c>
      <c r="Q79" s="116">
        <f t="shared" si="30"/>
        <v>0</v>
      </c>
      <c r="R79" s="117">
        <f t="shared" si="19"/>
        <v>5587061.0899999999</v>
      </c>
      <c r="S79" s="117"/>
      <c r="T79" s="117">
        <f t="shared" si="20"/>
        <v>5587061.0899999999</v>
      </c>
      <c r="U79" s="105"/>
      <c r="V79" s="105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9"/>
      <c r="AH79" s="119"/>
      <c r="AI79" s="119"/>
      <c r="AJ79" s="110"/>
      <c r="AK79" s="111"/>
      <c r="AL79" s="111"/>
      <c r="AM79" s="119">
        <v>5587061.0899999999</v>
      </c>
      <c r="AN79" s="119"/>
      <c r="AO79" s="119">
        <v>5587061.0899999999</v>
      </c>
      <c r="AP79" s="119">
        <v>5587061.0899999999</v>
      </c>
    </row>
    <row r="80" spans="1:53" ht="110.1" customHeight="1" x14ac:dyDescent="0.25">
      <c r="A80" s="203"/>
      <c r="B80" s="204"/>
      <c r="C80" s="174">
        <f t="shared" si="37"/>
        <v>6</v>
      </c>
      <c r="D80" s="89" t="s">
        <v>173</v>
      </c>
      <c r="E80" s="184">
        <v>270</v>
      </c>
      <c r="F80" s="114">
        <f t="shared" si="31"/>
        <v>22479.643703703707</v>
      </c>
      <c r="G80" s="114">
        <f t="shared" si="32"/>
        <v>22479.643703703707</v>
      </c>
      <c r="H80" s="114">
        <f t="shared" si="33"/>
        <v>22479.643703703707</v>
      </c>
      <c r="I80" s="114">
        <f t="shared" si="34"/>
        <v>6069503.8000000007</v>
      </c>
      <c r="J80" s="114">
        <f t="shared" si="35"/>
        <v>6069503.8000000007</v>
      </c>
      <c r="K80" s="114">
        <f t="shared" si="29"/>
        <v>6069503.8000000007</v>
      </c>
      <c r="L80" s="115">
        <v>5990410</v>
      </c>
      <c r="M80" s="115"/>
      <c r="N80" s="115">
        <v>5990410</v>
      </c>
      <c r="O80" s="115">
        <v>5990410</v>
      </c>
      <c r="P80" s="116">
        <f t="shared" si="36"/>
        <v>12059913.800000001</v>
      </c>
      <c r="Q80" s="116">
        <f t="shared" si="30"/>
        <v>0</v>
      </c>
      <c r="R80" s="117">
        <f t="shared" si="19"/>
        <v>12059913.800000001</v>
      </c>
      <c r="S80" s="117"/>
      <c r="T80" s="117">
        <f t="shared" si="20"/>
        <v>12059913.800000001</v>
      </c>
      <c r="U80" s="105"/>
      <c r="V80" s="105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9"/>
      <c r="AH80" s="119"/>
      <c r="AI80" s="119"/>
      <c r="AJ80" s="110"/>
      <c r="AK80" s="111"/>
      <c r="AL80" s="111"/>
      <c r="AM80" s="119">
        <f>12058713.8+1200</f>
        <v>12059913.800000001</v>
      </c>
      <c r="AN80" s="119"/>
      <c r="AO80" s="119">
        <v>12058713.800000001</v>
      </c>
      <c r="AP80" s="119">
        <v>12058713.800000001</v>
      </c>
    </row>
    <row r="81" spans="1:42" ht="110.1" customHeight="1" x14ac:dyDescent="0.25">
      <c r="A81" s="203"/>
      <c r="B81" s="204"/>
      <c r="C81" s="174">
        <f t="shared" si="37"/>
        <v>7</v>
      </c>
      <c r="D81" s="89" t="s">
        <v>74</v>
      </c>
      <c r="E81" s="184">
        <v>65</v>
      </c>
      <c r="F81" s="114">
        <f t="shared" si="31"/>
        <v>83939.149230769239</v>
      </c>
      <c r="G81" s="114">
        <f t="shared" si="32"/>
        <v>83939.149230769239</v>
      </c>
      <c r="H81" s="114">
        <f t="shared" si="33"/>
        <v>83939.149230769239</v>
      </c>
      <c r="I81" s="114">
        <f t="shared" si="34"/>
        <v>5456044.7000000002</v>
      </c>
      <c r="J81" s="114">
        <f t="shared" si="35"/>
        <v>5456044.7000000002</v>
      </c>
      <c r="K81" s="114">
        <f t="shared" si="29"/>
        <v>5456044.7000000002</v>
      </c>
      <c r="L81" s="115">
        <v>616930</v>
      </c>
      <c r="M81" s="115"/>
      <c r="N81" s="115">
        <v>616930</v>
      </c>
      <c r="O81" s="115">
        <v>616930</v>
      </c>
      <c r="P81" s="116">
        <f t="shared" si="36"/>
        <v>6072974.7000000002</v>
      </c>
      <c r="Q81" s="116">
        <f t="shared" si="30"/>
        <v>0</v>
      </c>
      <c r="R81" s="117">
        <f t="shared" si="19"/>
        <v>6072974.7000000002</v>
      </c>
      <c r="S81" s="117"/>
      <c r="T81" s="117">
        <f t="shared" si="20"/>
        <v>6072974.7000000002</v>
      </c>
      <c r="U81" s="105"/>
      <c r="V81" s="105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9"/>
      <c r="AH81" s="119"/>
      <c r="AI81" s="119"/>
      <c r="AJ81" s="110"/>
      <c r="AK81" s="111"/>
      <c r="AL81" s="111"/>
      <c r="AM81" s="119">
        <f>6071174.7+1800</f>
        <v>6072974.7000000002</v>
      </c>
      <c r="AN81" s="119"/>
      <c r="AO81" s="119">
        <v>6071174.7000000002</v>
      </c>
      <c r="AP81" s="119">
        <v>6071174.7000000002</v>
      </c>
    </row>
    <row r="82" spans="1:42" ht="110.1" customHeight="1" x14ac:dyDescent="0.25">
      <c r="A82" s="203"/>
      <c r="B82" s="204"/>
      <c r="C82" s="174">
        <f t="shared" si="37"/>
        <v>8</v>
      </c>
      <c r="D82" s="89" t="s">
        <v>75</v>
      </c>
      <c r="E82" s="184">
        <v>170</v>
      </c>
      <c r="F82" s="114">
        <f t="shared" si="31"/>
        <v>34007.285941176473</v>
      </c>
      <c r="G82" s="114">
        <f t="shared" si="32"/>
        <v>34007.285941176473</v>
      </c>
      <c r="H82" s="114">
        <f t="shared" si="33"/>
        <v>34007.285941176473</v>
      </c>
      <c r="I82" s="114">
        <f t="shared" si="34"/>
        <v>5781238.6100000003</v>
      </c>
      <c r="J82" s="114">
        <f t="shared" si="35"/>
        <v>5781238.6100000003</v>
      </c>
      <c r="K82" s="114">
        <f t="shared" si="29"/>
        <v>5781238.6100000003</v>
      </c>
      <c r="L82" s="115">
        <v>869690</v>
      </c>
      <c r="M82" s="115"/>
      <c r="N82" s="115">
        <v>869690</v>
      </c>
      <c r="O82" s="115">
        <v>869690</v>
      </c>
      <c r="P82" s="116">
        <f t="shared" si="36"/>
        <v>6650928.6100000003</v>
      </c>
      <c r="Q82" s="116">
        <f t="shared" si="30"/>
        <v>0</v>
      </c>
      <c r="R82" s="117">
        <f t="shared" si="19"/>
        <v>6650928.6100000003</v>
      </c>
      <c r="S82" s="117"/>
      <c r="T82" s="117">
        <f t="shared" si="20"/>
        <v>6650928.6100000003</v>
      </c>
      <c r="U82" s="105"/>
      <c r="V82" s="105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9"/>
      <c r="AH82" s="119"/>
      <c r="AI82" s="119"/>
      <c r="AJ82" s="110"/>
      <c r="AK82" s="111"/>
      <c r="AL82" s="111"/>
      <c r="AM82" s="119">
        <f>6648528.61+2400</f>
        <v>6650928.6100000003</v>
      </c>
      <c r="AN82" s="119"/>
      <c r="AO82" s="119">
        <v>6648528.6100000003</v>
      </c>
      <c r="AP82" s="119">
        <v>6648528.6100000003</v>
      </c>
    </row>
    <row r="83" spans="1:42" ht="110.1" customHeight="1" x14ac:dyDescent="0.25">
      <c r="A83" s="203"/>
      <c r="B83" s="204"/>
      <c r="C83" s="174">
        <f t="shared" si="37"/>
        <v>9</v>
      </c>
      <c r="D83" s="89" t="s">
        <v>76</v>
      </c>
      <c r="E83" s="184">
        <v>168</v>
      </c>
      <c r="F83" s="114">
        <f t="shared" si="31"/>
        <v>32583.487916666665</v>
      </c>
      <c r="G83" s="114">
        <f t="shared" si="32"/>
        <v>32583.487916666665</v>
      </c>
      <c r="H83" s="114">
        <f t="shared" si="33"/>
        <v>32583.487916666665</v>
      </c>
      <c r="I83" s="114">
        <f t="shared" si="34"/>
        <v>5474025.9699999997</v>
      </c>
      <c r="J83" s="114">
        <f t="shared" si="35"/>
        <v>5474025.9699999997</v>
      </c>
      <c r="K83" s="114">
        <f t="shared" si="29"/>
        <v>5474025.9699999997</v>
      </c>
      <c r="L83" s="115">
        <v>802300</v>
      </c>
      <c r="M83" s="115"/>
      <c r="N83" s="115">
        <v>802300</v>
      </c>
      <c r="O83" s="115">
        <v>802300</v>
      </c>
      <c r="P83" s="116">
        <f t="shared" si="36"/>
        <v>6276325.9699999997</v>
      </c>
      <c r="Q83" s="116">
        <f t="shared" si="30"/>
        <v>0</v>
      </c>
      <c r="R83" s="117">
        <f t="shared" si="19"/>
        <v>6276325.9699999997</v>
      </c>
      <c r="S83" s="117"/>
      <c r="T83" s="117">
        <f t="shared" si="20"/>
        <v>6276325.9699999997</v>
      </c>
      <c r="U83" s="105"/>
      <c r="V83" s="105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9"/>
      <c r="AH83" s="119"/>
      <c r="AI83" s="119"/>
      <c r="AJ83" s="110"/>
      <c r="AK83" s="111"/>
      <c r="AL83" s="111"/>
      <c r="AM83" s="119">
        <f>6275125.97+1200</f>
        <v>6276325.9699999997</v>
      </c>
      <c r="AN83" s="119"/>
      <c r="AO83" s="119">
        <v>6275125.9699999997</v>
      </c>
      <c r="AP83" s="119">
        <v>6275125.9699999997</v>
      </c>
    </row>
    <row r="84" spans="1:42" ht="110.1" customHeight="1" x14ac:dyDescent="0.25">
      <c r="A84" s="203"/>
      <c r="B84" s="204"/>
      <c r="C84" s="174">
        <f t="shared" si="37"/>
        <v>10</v>
      </c>
      <c r="D84" s="89" t="s">
        <v>139</v>
      </c>
      <c r="E84" s="184">
        <v>336</v>
      </c>
      <c r="F84" s="114">
        <f t="shared" si="31"/>
        <v>41944.569970238095</v>
      </c>
      <c r="G84" s="114">
        <f t="shared" si="32"/>
        <v>41944.569970238095</v>
      </c>
      <c r="H84" s="114">
        <f t="shared" si="33"/>
        <v>41944.569970238095</v>
      </c>
      <c r="I84" s="114">
        <f t="shared" si="34"/>
        <v>14093375.51</v>
      </c>
      <c r="J84" s="114">
        <f t="shared" si="35"/>
        <v>14093375.51</v>
      </c>
      <c r="K84" s="114">
        <f t="shared" si="29"/>
        <v>14093375.51</v>
      </c>
      <c r="L84" s="115">
        <v>1360110</v>
      </c>
      <c r="M84" s="115"/>
      <c r="N84" s="115">
        <v>1360110</v>
      </c>
      <c r="O84" s="115">
        <v>1360110</v>
      </c>
      <c r="P84" s="116">
        <f t="shared" si="36"/>
        <v>15453485.51</v>
      </c>
      <c r="Q84" s="116">
        <f t="shared" si="30"/>
        <v>0</v>
      </c>
      <c r="R84" s="117">
        <f t="shared" si="19"/>
        <v>15453485.51</v>
      </c>
      <c r="S84" s="117"/>
      <c r="T84" s="117">
        <f t="shared" si="20"/>
        <v>15453485.51</v>
      </c>
      <c r="U84" s="105"/>
      <c r="V84" s="105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9"/>
      <c r="AH84" s="119"/>
      <c r="AI84" s="119"/>
      <c r="AJ84" s="110"/>
      <c r="AK84" s="111"/>
      <c r="AL84" s="111"/>
      <c r="AM84" s="119">
        <f>15449885.51+3600</f>
        <v>15453485.51</v>
      </c>
      <c r="AN84" s="119"/>
      <c r="AO84" s="119">
        <v>15449885.51</v>
      </c>
      <c r="AP84" s="119">
        <v>15449885.51</v>
      </c>
    </row>
    <row r="85" spans="1:42" ht="110.1" customHeight="1" x14ac:dyDescent="0.25">
      <c r="A85" s="203"/>
      <c r="B85" s="204"/>
      <c r="C85" s="174">
        <f t="shared" si="37"/>
        <v>11</v>
      </c>
      <c r="D85" s="89" t="s">
        <v>77</v>
      </c>
      <c r="E85" s="184">
        <v>120</v>
      </c>
      <c r="F85" s="114">
        <f t="shared" si="31"/>
        <v>37572.545416666668</v>
      </c>
      <c r="G85" s="114">
        <f t="shared" si="32"/>
        <v>37572.545416666668</v>
      </c>
      <c r="H85" s="114">
        <f t="shared" si="33"/>
        <v>37572.545416666668</v>
      </c>
      <c r="I85" s="114">
        <f t="shared" si="34"/>
        <v>4508705.45</v>
      </c>
      <c r="J85" s="114">
        <f t="shared" si="35"/>
        <v>4508705.45</v>
      </c>
      <c r="K85" s="114">
        <f t="shared" si="29"/>
        <v>4508705.45</v>
      </c>
      <c r="L85" s="115">
        <v>705560</v>
      </c>
      <c r="M85" s="115"/>
      <c r="N85" s="115">
        <v>705560</v>
      </c>
      <c r="O85" s="115">
        <v>705560</v>
      </c>
      <c r="P85" s="116">
        <f t="shared" si="36"/>
        <v>5214265.45</v>
      </c>
      <c r="Q85" s="116">
        <f t="shared" si="30"/>
        <v>0</v>
      </c>
      <c r="R85" s="117">
        <f t="shared" si="19"/>
        <v>5214265.45</v>
      </c>
      <c r="S85" s="117"/>
      <c r="T85" s="117">
        <f t="shared" si="20"/>
        <v>5214265.45</v>
      </c>
      <c r="U85" s="105"/>
      <c r="V85" s="105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9"/>
      <c r="AH85" s="119"/>
      <c r="AI85" s="119"/>
      <c r="AJ85" s="110"/>
      <c r="AK85" s="111"/>
      <c r="AL85" s="111"/>
      <c r="AM85" s="119">
        <f>5213665.45+600</f>
        <v>5214265.45</v>
      </c>
      <c r="AN85" s="119"/>
      <c r="AO85" s="119">
        <v>5213665.45</v>
      </c>
      <c r="AP85" s="119">
        <v>5213665.45</v>
      </c>
    </row>
    <row r="86" spans="1:42" ht="110.1" customHeight="1" x14ac:dyDescent="0.25">
      <c r="A86" s="203"/>
      <c r="B86" s="204"/>
      <c r="C86" s="174">
        <f t="shared" si="37"/>
        <v>12</v>
      </c>
      <c r="D86" s="89" t="s">
        <v>214</v>
      </c>
      <c r="E86" s="184">
        <v>448</v>
      </c>
      <c r="F86" s="114">
        <f t="shared" si="31"/>
        <v>21528.911450892858</v>
      </c>
      <c r="G86" s="114">
        <f t="shared" si="32"/>
        <v>21528.911450892858</v>
      </c>
      <c r="H86" s="114">
        <f t="shared" si="33"/>
        <v>21528.911450892858</v>
      </c>
      <c r="I86" s="114">
        <f t="shared" si="34"/>
        <v>9644952.3300000001</v>
      </c>
      <c r="J86" s="114">
        <f t="shared" si="35"/>
        <v>9644952.3300000001</v>
      </c>
      <c r="K86" s="114">
        <f t="shared" si="29"/>
        <v>9644952.3300000001</v>
      </c>
      <c r="L86" s="115">
        <v>1836730</v>
      </c>
      <c r="M86" s="115"/>
      <c r="N86" s="115">
        <v>1836730</v>
      </c>
      <c r="O86" s="115">
        <v>1836730</v>
      </c>
      <c r="P86" s="116">
        <f t="shared" si="36"/>
        <v>11481682.33</v>
      </c>
      <c r="Q86" s="116">
        <f t="shared" si="30"/>
        <v>0</v>
      </c>
      <c r="R86" s="117">
        <f t="shared" si="19"/>
        <v>11481682.33</v>
      </c>
      <c r="S86" s="117"/>
      <c r="T86" s="117">
        <f t="shared" si="20"/>
        <v>11481682.33</v>
      </c>
      <c r="U86" s="105"/>
      <c r="V86" s="105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9"/>
      <c r="AH86" s="119"/>
      <c r="AI86" s="119"/>
      <c r="AJ86" s="110"/>
      <c r="AK86" s="111"/>
      <c r="AL86" s="111"/>
      <c r="AM86" s="119">
        <f>11478682.33+3000</f>
        <v>11481682.33</v>
      </c>
      <c r="AN86" s="119"/>
      <c r="AO86" s="119">
        <v>11478682.33</v>
      </c>
      <c r="AP86" s="119">
        <v>11478682.33</v>
      </c>
    </row>
    <row r="87" spans="1:42" ht="110.1" customHeight="1" x14ac:dyDescent="0.25">
      <c r="A87" s="203"/>
      <c r="B87" s="204"/>
      <c r="C87" s="174">
        <f t="shared" si="37"/>
        <v>13</v>
      </c>
      <c r="D87" s="89" t="s">
        <v>78</v>
      </c>
      <c r="E87" s="184">
        <v>350</v>
      </c>
      <c r="F87" s="114">
        <f t="shared" si="31"/>
        <v>25363.588599999999</v>
      </c>
      <c r="G87" s="114">
        <f t="shared" si="32"/>
        <v>25363.588599999999</v>
      </c>
      <c r="H87" s="114">
        <f t="shared" si="33"/>
        <v>25363.588599999999</v>
      </c>
      <c r="I87" s="114">
        <f t="shared" si="34"/>
        <v>8877256.0099999998</v>
      </c>
      <c r="J87" s="114">
        <f t="shared" si="35"/>
        <v>8877256.0099999998</v>
      </c>
      <c r="K87" s="114">
        <f t="shared" si="29"/>
        <v>8877256.0099999998</v>
      </c>
      <c r="L87" s="115">
        <v>1389250</v>
      </c>
      <c r="M87" s="115"/>
      <c r="N87" s="115">
        <v>1389250</v>
      </c>
      <c r="O87" s="115">
        <v>1389250</v>
      </c>
      <c r="P87" s="116">
        <f t="shared" si="36"/>
        <v>10266506.01</v>
      </c>
      <c r="Q87" s="116">
        <f t="shared" si="30"/>
        <v>0</v>
      </c>
      <c r="R87" s="117">
        <f t="shared" si="19"/>
        <v>10266506.01</v>
      </c>
      <c r="S87" s="117"/>
      <c r="T87" s="117">
        <f t="shared" si="20"/>
        <v>10266506.01</v>
      </c>
      <c r="U87" s="105"/>
      <c r="V87" s="105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9"/>
      <c r="AH87" s="119"/>
      <c r="AI87" s="119"/>
      <c r="AJ87" s="110"/>
      <c r="AK87" s="111"/>
      <c r="AL87" s="111"/>
      <c r="AM87" s="119">
        <v>10266506.01</v>
      </c>
      <c r="AN87" s="119"/>
      <c r="AO87" s="119">
        <v>10266506.01</v>
      </c>
      <c r="AP87" s="119">
        <v>10266506.01</v>
      </c>
    </row>
    <row r="88" spans="1:42" ht="110.1" customHeight="1" x14ac:dyDescent="0.25">
      <c r="A88" s="203"/>
      <c r="B88" s="204"/>
      <c r="C88" s="174">
        <f t="shared" si="37"/>
        <v>14</v>
      </c>
      <c r="D88" s="89" t="s">
        <v>215</v>
      </c>
      <c r="E88" s="184">
        <v>286</v>
      </c>
      <c r="F88" s="114">
        <f t="shared" si="31"/>
        <v>33669.510069930075</v>
      </c>
      <c r="G88" s="114">
        <f t="shared" si="32"/>
        <v>33669.510069930075</v>
      </c>
      <c r="H88" s="114">
        <f t="shared" si="33"/>
        <v>33669.510069930075</v>
      </c>
      <c r="I88" s="114">
        <f t="shared" si="34"/>
        <v>9629479.8800000008</v>
      </c>
      <c r="J88" s="114">
        <f t="shared" si="35"/>
        <v>9629479.8800000008</v>
      </c>
      <c r="K88" s="114">
        <f t="shared" si="29"/>
        <v>9629479.8800000008</v>
      </c>
      <c r="L88" s="115">
        <v>1635600</v>
      </c>
      <c r="M88" s="115"/>
      <c r="N88" s="115">
        <v>1635600</v>
      </c>
      <c r="O88" s="115">
        <v>1635600</v>
      </c>
      <c r="P88" s="116">
        <f t="shared" si="36"/>
        <v>11265079.880000001</v>
      </c>
      <c r="Q88" s="116">
        <f t="shared" si="30"/>
        <v>0</v>
      </c>
      <c r="R88" s="117">
        <f t="shared" si="19"/>
        <v>11265079.880000001</v>
      </c>
      <c r="S88" s="117"/>
      <c r="T88" s="117">
        <f t="shared" si="20"/>
        <v>11265079.880000001</v>
      </c>
      <c r="U88" s="105"/>
      <c r="V88" s="105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9"/>
      <c r="AH88" s="119"/>
      <c r="AI88" s="119"/>
      <c r="AJ88" s="110"/>
      <c r="AK88" s="111"/>
      <c r="AL88" s="111"/>
      <c r="AM88" s="119">
        <f>11263279.88+1800</f>
        <v>11265079.880000001</v>
      </c>
      <c r="AN88" s="119"/>
      <c r="AO88" s="119">
        <v>11263279.880000001</v>
      </c>
      <c r="AP88" s="119">
        <v>11263279.880000001</v>
      </c>
    </row>
    <row r="89" spans="1:42" ht="110.1" customHeight="1" x14ac:dyDescent="0.25">
      <c r="A89" s="203"/>
      <c r="B89" s="204"/>
      <c r="C89" s="174">
        <f t="shared" si="37"/>
        <v>15</v>
      </c>
      <c r="D89" s="89" t="s">
        <v>80</v>
      </c>
      <c r="E89" s="184">
        <v>131</v>
      </c>
      <c r="F89" s="114">
        <f t="shared" si="31"/>
        <v>47159.970839694652</v>
      </c>
      <c r="G89" s="114">
        <f t="shared" si="32"/>
        <v>47159.970839694652</v>
      </c>
      <c r="H89" s="114">
        <f t="shared" si="33"/>
        <v>47159.970839694652</v>
      </c>
      <c r="I89" s="114">
        <f t="shared" si="34"/>
        <v>6177956.1799999997</v>
      </c>
      <c r="J89" s="114">
        <f t="shared" si="35"/>
        <v>6177956.1799999997</v>
      </c>
      <c r="K89" s="114">
        <f t="shared" si="29"/>
        <v>6177956.1799999997</v>
      </c>
      <c r="L89" s="115">
        <v>633880</v>
      </c>
      <c r="M89" s="115"/>
      <c r="N89" s="115">
        <v>633880</v>
      </c>
      <c r="O89" s="115">
        <v>633880</v>
      </c>
      <c r="P89" s="116">
        <f t="shared" si="36"/>
        <v>6811836.1799999997</v>
      </c>
      <c r="Q89" s="116">
        <f t="shared" si="30"/>
        <v>0</v>
      </c>
      <c r="R89" s="117">
        <f t="shared" si="19"/>
        <v>6811836.1799999997</v>
      </c>
      <c r="S89" s="117"/>
      <c r="T89" s="117">
        <f t="shared" si="20"/>
        <v>6811836.1799999997</v>
      </c>
      <c r="U89" s="105"/>
      <c r="V89" s="105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9"/>
      <c r="AH89" s="119"/>
      <c r="AI89" s="119"/>
      <c r="AJ89" s="110"/>
      <c r="AK89" s="111"/>
      <c r="AL89" s="111"/>
      <c r="AM89" s="119">
        <f>6810636.18+1200</f>
        <v>6811836.1799999997</v>
      </c>
      <c r="AN89" s="119"/>
      <c r="AO89" s="119">
        <v>6810636.1799999997</v>
      </c>
      <c r="AP89" s="119">
        <v>6810636.1799999997</v>
      </c>
    </row>
    <row r="90" spans="1:42" ht="110.1" customHeight="1" x14ac:dyDescent="0.25">
      <c r="A90" s="203"/>
      <c r="B90" s="204"/>
      <c r="C90" s="174">
        <f t="shared" si="37"/>
        <v>16</v>
      </c>
      <c r="D90" s="89" t="s">
        <v>216</v>
      </c>
      <c r="E90" s="184">
        <v>125</v>
      </c>
      <c r="F90" s="114">
        <f t="shared" si="31"/>
        <v>39713.291279999998</v>
      </c>
      <c r="G90" s="114">
        <f t="shared" si="32"/>
        <v>39713.291279999998</v>
      </c>
      <c r="H90" s="114">
        <f t="shared" si="33"/>
        <v>39713.291279999998</v>
      </c>
      <c r="I90" s="114">
        <f t="shared" si="34"/>
        <v>4964161.41</v>
      </c>
      <c r="J90" s="114">
        <f t="shared" si="35"/>
        <v>4964161.41</v>
      </c>
      <c r="K90" s="114">
        <f t="shared" si="29"/>
        <v>4964161.41</v>
      </c>
      <c r="L90" s="115">
        <v>644690</v>
      </c>
      <c r="M90" s="115"/>
      <c r="N90" s="115">
        <v>644690</v>
      </c>
      <c r="O90" s="115">
        <v>644690</v>
      </c>
      <c r="P90" s="116">
        <f t="shared" si="36"/>
        <v>5608851.4100000001</v>
      </c>
      <c r="Q90" s="116">
        <f t="shared" si="30"/>
        <v>0</v>
      </c>
      <c r="R90" s="117">
        <f t="shared" si="19"/>
        <v>5608851.4100000001</v>
      </c>
      <c r="S90" s="117"/>
      <c r="T90" s="117">
        <f t="shared" si="20"/>
        <v>5608851.4100000001</v>
      </c>
      <c r="U90" s="105"/>
      <c r="V90" s="105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9"/>
      <c r="AH90" s="119"/>
      <c r="AI90" s="119"/>
      <c r="AJ90" s="110"/>
      <c r="AK90" s="111"/>
      <c r="AL90" s="111"/>
      <c r="AM90" s="119">
        <f>5608251.41+600</f>
        <v>5608851.4100000001</v>
      </c>
      <c r="AN90" s="119"/>
      <c r="AO90" s="119">
        <v>5608251.4100000001</v>
      </c>
      <c r="AP90" s="119">
        <v>5608251.4100000001</v>
      </c>
    </row>
    <row r="91" spans="1:42" ht="110.1" customHeight="1" x14ac:dyDescent="0.25">
      <c r="A91" s="203"/>
      <c r="B91" s="204"/>
      <c r="C91" s="174">
        <f t="shared" si="37"/>
        <v>17</v>
      </c>
      <c r="D91" s="89" t="s">
        <v>217</v>
      </c>
      <c r="E91" s="184">
        <v>414</v>
      </c>
      <c r="F91" s="114">
        <f t="shared" si="31"/>
        <v>27481.903913043479</v>
      </c>
      <c r="G91" s="114">
        <f t="shared" si="32"/>
        <v>27481.903913043479</v>
      </c>
      <c r="H91" s="114">
        <f t="shared" si="33"/>
        <v>27481.903913043479</v>
      </c>
      <c r="I91" s="114">
        <f t="shared" si="34"/>
        <v>11377508.220000001</v>
      </c>
      <c r="J91" s="114">
        <f t="shared" si="35"/>
        <v>11377508.220000001</v>
      </c>
      <c r="K91" s="114">
        <f t="shared" si="29"/>
        <v>11377508.220000001</v>
      </c>
      <c r="L91" s="115">
        <v>1425360</v>
      </c>
      <c r="M91" s="115"/>
      <c r="N91" s="115">
        <v>1425360</v>
      </c>
      <c r="O91" s="115">
        <v>1425360</v>
      </c>
      <c r="P91" s="116">
        <f t="shared" si="36"/>
        <v>12802868.220000001</v>
      </c>
      <c r="Q91" s="116">
        <f t="shared" ref="Q91:Q142" si="38">AN91</f>
        <v>0</v>
      </c>
      <c r="R91" s="117">
        <f t="shared" si="19"/>
        <v>12802868.220000001</v>
      </c>
      <c r="S91" s="117"/>
      <c r="T91" s="117">
        <f t="shared" si="20"/>
        <v>12802868.220000001</v>
      </c>
      <c r="U91" s="105"/>
      <c r="V91" s="105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9"/>
      <c r="AH91" s="119"/>
      <c r="AI91" s="119"/>
      <c r="AJ91" s="110"/>
      <c r="AK91" s="111"/>
      <c r="AL91" s="111"/>
      <c r="AM91" s="119">
        <f>12798068.22+4800</f>
        <v>12802868.220000001</v>
      </c>
      <c r="AN91" s="119"/>
      <c r="AO91" s="119">
        <v>12798068.220000001</v>
      </c>
      <c r="AP91" s="119">
        <v>12798068.220000001</v>
      </c>
    </row>
    <row r="92" spans="1:42" ht="110.1" customHeight="1" x14ac:dyDescent="0.25">
      <c r="A92" s="203"/>
      <c r="B92" s="204"/>
      <c r="C92" s="174">
        <f t="shared" si="37"/>
        <v>18</v>
      </c>
      <c r="D92" s="89" t="s">
        <v>218</v>
      </c>
      <c r="E92" s="184">
        <v>135</v>
      </c>
      <c r="F92" s="114">
        <f t="shared" si="31"/>
        <v>28280.716666666667</v>
      </c>
      <c r="G92" s="114">
        <f t="shared" si="32"/>
        <v>28280.716666666667</v>
      </c>
      <c r="H92" s="114">
        <f t="shared" si="33"/>
        <v>28280.716666666667</v>
      </c>
      <c r="I92" s="114">
        <f t="shared" si="34"/>
        <v>3817896.75</v>
      </c>
      <c r="J92" s="114">
        <f t="shared" si="35"/>
        <v>3817896.75</v>
      </c>
      <c r="K92" s="114">
        <f t="shared" si="29"/>
        <v>3817896.75</v>
      </c>
      <c r="L92" s="115">
        <v>824930</v>
      </c>
      <c r="M92" s="115"/>
      <c r="N92" s="115">
        <v>824930</v>
      </c>
      <c r="O92" s="115">
        <v>824930</v>
      </c>
      <c r="P92" s="116">
        <f t="shared" si="36"/>
        <v>4642826.75</v>
      </c>
      <c r="Q92" s="116">
        <f t="shared" si="38"/>
        <v>0</v>
      </c>
      <c r="R92" s="117">
        <f t="shared" si="19"/>
        <v>4642826.75</v>
      </c>
      <c r="S92" s="117"/>
      <c r="T92" s="117">
        <f t="shared" si="20"/>
        <v>4642826.75</v>
      </c>
      <c r="U92" s="105"/>
      <c r="V92" s="105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9"/>
      <c r="AH92" s="119"/>
      <c r="AI92" s="119"/>
      <c r="AJ92" s="110"/>
      <c r="AK92" s="111"/>
      <c r="AL92" s="111"/>
      <c r="AM92" s="119">
        <f>4641626.75+1200</f>
        <v>4642826.75</v>
      </c>
      <c r="AN92" s="119"/>
      <c r="AO92" s="119">
        <v>4641626.75</v>
      </c>
      <c r="AP92" s="119">
        <v>4641626.75</v>
      </c>
    </row>
    <row r="93" spans="1:42" ht="110.1" customHeight="1" x14ac:dyDescent="0.25">
      <c r="A93" s="203"/>
      <c r="B93" s="204"/>
      <c r="C93" s="174">
        <f t="shared" si="37"/>
        <v>19</v>
      </c>
      <c r="D93" s="89" t="s">
        <v>174</v>
      </c>
      <c r="E93" s="184">
        <v>247</v>
      </c>
      <c r="F93" s="114">
        <f t="shared" si="31"/>
        <v>31579.972591093119</v>
      </c>
      <c r="G93" s="114">
        <f t="shared" si="32"/>
        <v>31579.972591093119</v>
      </c>
      <c r="H93" s="114">
        <f t="shared" si="33"/>
        <v>31579.972591093119</v>
      </c>
      <c r="I93" s="114">
        <f t="shared" si="34"/>
        <v>7800253.2300000004</v>
      </c>
      <c r="J93" s="114">
        <f t="shared" si="35"/>
        <v>7800253.2300000004</v>
      </c>
      <c r="K93" s="114">
        <f t="shared" si="29"/>
        <v>7800253.2300000004</v>
      </c>
      <c r="L93" s="115">
        <v>5847130</v>
      </c>
      <c r="M93" s="115"/>
      <c r="N93" s="115">
        <v>5847130</v>
      </c>
      <c r="O93" s="115">
        <v>5847130</v>
      </c>
      <c r="P93" s="116">
        <f t="shared" si="36"/>
        <v>13647383.23</v>
      </c>
      <c r="Q93" s="116">
        <f t="shared" si="38"/>
        <v>0</v>
      </c>
      <c r="R93" s="117">
        <f t="shared" si="19"/>
        <v>13647383.23</v>
      </c>
      <c r="S93" s="117"/>
      <c r="T93" s="117">
        <f t="shared" si="20"/>
        <v>13647383.23</v>
      </c>
      <c r="U93" s="105"/>
      <c r="V93" s="105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9"/>
      <c r="AH93" s="119"/>
      <c r="AI93" s="119"/>
      <c r="AJ93" s="110"/>
      <c r="AK93" s="111"/>
      <c r="AL93" s="111"/>
      <c r="AM93" s="119">
        <f>13643783.23+3600</f>
        <v>13647383.23</v>
      </c>
      <c r="AN93" s="119"/>
      <c r="AO93" s="119">
        <v>13643783.23</v>
      </c>
      <c r="AP93" s="119">
        <v>13643783.23</v>
      </c>
    </row>
    <row r="94" spans="1:42" ht="110.1" customHeight="1" x14ac:dyDescent="0.25">
      <c r="A94" s="203"/>
      <c r="B94" s="204"/>
      <c r="C94" s="174">
        <f t="shared" si="37"/>
        <v>20</v>
      </c>
      <c r="D94" s="89" t="s">
        <v>84</v>
      </c>
      <c r="E94" s="184">
        <v>305</v>
      </c>
      <c r="F94" s="114">
        <f t="shared" si="31"/>
        <v>26595.887999999999</v>
      </c>
      <c r="G94" s="114">
        <f t="shared" si="32"/>
        <v>26595.887999999999</v>
      </c>
      <c r="H94" s="114">
        <f t="shared" si="33"/>
        <v>26595.887999999999</v>
      </c>
      <c r="I94" s="114">
        <f t="shared" si="34"/>
        <v>8111745.8399999999</v>
      </c>
      <c r="J94" s="114">
        <f t="shared" si="35"/>
        <v>8111745.8399999999</v>
      </c>
      <c r="K94" s="114">
        <f t="shared" si="29"/>
        <v>8111745.8399999999</v>
      </c>
      <c r="L94" s="115">
        <v>1191530</v>
      </c>
      <c r="M94" s="115"/>
      <c r="N94" s="115">
        <v>1191530</v>
      </c>
      <c r="O94" s="115">
        <v>1191530</v>
      </c>
      <c r="P94" s="116">
        <f t="shared" si="36"/>
        <v>9303275.8399999999</v>
      </c>
      <c r="Q94" s="116">
        <f t="shared" si="38"/>
        <v>0</v>
      </c>
      <c r="R94" s="117">
        <f t="shared" si="19"/>
        <v>9303275.8399999999</v>
      </c>
      <c r="S94" s="117"/>
      <c r="T94" s="117">
        <f t="shared" si="20"/>
        <v>9303275.8399999999</v>
      </c>
      <c r="U94" s="105"/>
      <c r="V94" s="105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9"/>
      <c r="AH94" s="119"/>
      <c r="AI94" s="119"/>
      <c r="AJ94" s="110"/>
      <c r="AK94" s="111"/>
      <c r="AL94" s="111"/>
      <c r="AM94" s="119">
        <f>9299675.84+3600</f>
        <v>9303275.8399999999</v>
      </c>
      <c r="AN94" s="119"/>
      <c r="AO94" s="119">
        <v>9299675.8399999999</v>
      </c>
      <c r="AP94" s="119">
        <v>9299675.8399999999</v>
      </c>
    </row>
    <row r="95" spans="1:42" ht="110.1" customHeight="1" x14ac:dyDescent="0.25">
      <c r="A95" s="203"/>
      <c r="B95" s="204"/>
      <c r="C95" s="174">
        <f t="shared" si="37"/>
        <v>21</v>
      </c>
      <c r="D95" s="89" t="s">
        <v>175</v>
      </c>
      <c r="E95" s="184">
        <v>288</v>
      </c>
      <c r="F95" s="114">
        <f t="shared" si="31"/>
        <v>41126.317291666666</v>
      </c>
      <c r="G95" s="114">
        <f t="shared" si="32"/>
        <v>41126.317291666666</v>
      </c>
      <c r="H95" s="114">
        <f t="shared" si="33"/>
        <v>41126.317291666666</v>
      </c>
      <c r="I95" s="114">
        <f t="shared" si="34"/>
        <v>11844379.380000001</v>
      </c>
      <c r="J95" s="114">
        <f t="shared" si="35"/>
        <v>11844379.380000001</v>
      </c>
      <c r="K95" s="114">
        <f t="shared" si="29"/>
        <v>11844379.380000001</v>
      </c>
      <c r="L95" s="115">
        <v>3120660</v>
      </c>
      <c r="M95" s="115"/>
      <c r="N95" s="115">
        <v>3120660</v>
      </c>
      <c r="O95" s="115">
        <v>3120660</v>
      </c>
      <c r="P95" s="116">
        <f t="shared" si="36"/>
        <v>14965039.380000001</v>
      </c>
      <c r="Q95" s="116">
        <f t="shared" si="38"/>
        <v>0</v>
      </c>
      <c r="R95" s="117">
        <f t="shared" si="19"/>
        <v>14965039.380000001</v>
      </c>
      <c r="S95" s="117"/>
      <c r="T95" s="117">
        <f t="shared" si="20"/>
        <v>14965039.380000001</v>
      </c>
      <c r="U95" s="105"/>
      <c r="V95" s="105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9"/>
      <c r="AH95" s="119"/>
      <c r="AI95" s="119"/>
      <c r="AJ95" s="110"/>
      <c r="AK95" s="111"/>
      <c r="AL95" s="111"/>
      <c r="AM95" s="119">
        <f>14963839.38+1200</f>
        <v>14965039.380000001</v>
      </c>
      <c r="AN95" s="119"/>
      <c r="AO95" s="119">
        <v>14963839.380000001</v>
      </c>
      <c r="AP95" s="119">
        <v>14963839.380000001</v>
      </c>
    </row>
    <row r="96" spans="1:42" ht="110.1" customHeight="1" x14ac:dyDescent="0.25">
      <c r="A96" s="203"/>
      <c r="B96" s="204"/>
      <c r="C96" s="174">
        <f t="shared" si="37"/>
        <v>22</v>
      </c>
      <c r="D96" s="89" t="s">
        <v>11</v>
      </c>
      <c r="E96" s="184">
        <v>89</v>
      </c>
      <c r="F96" s="114">
        <f t="shared" si="31"/>
        <v>51813.883258426969</v>
      </c>
      <c r="G96" s="114">
        <f t="shared" si="32"/>
        <v>51813.883258426969</v>
      </c>
      <c r="H96" s="114">
        <f t="shared" si="33"/>
        <v>51813.883258426969</v>
      </c>
      <c r="I96" s="114">
        <f t="shared" si="34"/>
        <v>4611435.6100000003</v>
      </c>
      <c r="J96" s="114">
        <f t="shared" si="35"/>
        <v>4611435.6100000003</v>
      </c>
      <c r="K96" s="114">
        <f t="shared" si="29"/>
        <v>4611435.6100000003</v>
      </c>
      <c r="L96" s="115">
        <v>1000500</v>
      </c>
      <c r="M96" s="115"/>
      <c r="N96" s="115">
        <v>1000500</v>
      </c>
      <c r="O96" s="115">
        <v>1000500</v>
      </c>
      <c r="P96" s="116">
        <f t="shared" si="36"/>
        <v>5611935.6100000003</v>
      </c>
      <c r="Q96" s="116">
        <f t="shared" si="38"/>
        <v>0</v>
      </c>
      <c r="R96" s="117">
        <f t="shared" si="19"/>
        <v>5611935.6100000003</v>
      </c>
      <c r="S96" s="117"/>
      <c r="T96" s="117">
        <f t="shared" si="20"/>
        <v>5611935.6100000003</v>
      </c>
      <c r="U96" s="105"/>
      <c r="V96" s="105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9"/>
      <c r="AH96" s="119"/>
      <c r="AI96" s="119"/>
      <c r="AJ96" s="110"/>
      <c r="AK96" s="111"/>
      <c r="AL96" s="111"/>
      <c r="AM96" s="119">
        <f>5611335.61+600</f>
        <v>5611935.6100000003</v>
      </c>
      <c r="AN96" s="119"/>
      <c r="AO96" s="119">
        <v>5611335.6100000003</v>
      </c>
      <c r="AP96" s="119">
        <v>5611335.6100000003</v>
      </c>
    </row>
    <row r="97" spans="1:42" ht="110.1" customHeight="1" x14ac:dyDescent="0.25">
      <c r="A97" s="203"/>
      <c r="B97" s="204"/>
      <c r="C97" s="174">
        <f t="shared" si="37"/>
        <v>23</v>
      </c>
      <c r="D97" s="89" t="s">
        <v>219</v>
      </c>
      <c r="E97" s="184">
        <v>54</v>
      </c>
      <c r="F97" s="114">
        <f t="shared" si="31"/>
        <v>45605.833333333336</v>
      </c>
      <c r="G97" s="114">
        <f t="shared" si="32"/>
        <v>45605.833333333336</v>
      </c>
      <c r="H97" s="114">
        <f t="shared" si="33"/>
        <v>45605.833333333336</v>
      </c>
      <c r="I97" s="114">
        <f t="shared" si="34"/>
        <v>2462715</v>
      </c>
      <c r="J97" s="114">
        <f t="shared" si="35"/>
        <v>2462715</v>
      </c>
      <c r="K97" s="114">
        <f t="shared" si="29"/>
        <v>2462715</v>
      </c>
      <c r="L97" s="115">
        <v>1403650</v>
      </c>
      <c r="M97" s="115"/>
      <c r="N97" s="115">
        <v>1403650</v>
      </c>
      <c r="O97" s="115">
        <v>1403650</v>
      </c>
      <c r="P97" s="116">
        <f t="shared" si="36"/>
        <v>3866365</v>
      </c>
      <c r="Q97" s="116">
        <f t="shared" si="38"/>
        <v>0</v>
      </c>
      <c r="R97" s="117">
        <f t="shared" si="19"/>
        <v>3866365</v>
      </c>
      <c r="S97" s="117"/>
      <c r="T97" s="117">
        <f t="shared" si="20"/>
        <v>3866365</v>
      </c>
      <c r="U97" s="105"/>
      <c r="V97" s="105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9"/>
      <c r="AH97" s="119"/>
      <c r="AI97" s="119"/>
      <c r="AJ97" s="110"/>
      <c r="AK97" s="111"/>
      <c r="AL97" s="111"/>
      <c r="AM97" s="119">
        <v>3866365</v>
      </c>
      <c r="AN97" s="119"/>
      <c r="AO97" s="119">
        <v>3866365</v>
      </c>
      <c r="AP97" s="119">
        <v>3866365</v>
      </c>
    </row>
    <row r="98" spans="1:42" ht="110.1" customHeight="1" x14ac:dyDescent="0.25">
      <c r="A98" s="203"/>
      <c r="B98" s="204"/>
      <c r="C98" s="174">
        <f t="shared" si="37"/>
        <v>24</v>
      </c>
      <c r="D98" s="89" t="s">
        <v>86</v>
      </c>
      <c r="E98" s="184">
        <v>118</v>
      </c>
      <c r="F98" s="114">
        <f t="shared" si="31"/>
        <v>43710.927542372883</v>
      </c>
      <c r="G98" s="114">
        <f t="shared" si="32"/>
        <v>43710.927542372883</v>
      </c>
      <c r="H98" s="114">
        <f t="shared" si="33"/>
        <v>43710.927542372883</v>
      </c>
      <c r="I98" s="114">
        <f t="shared" si="34"/>
        <v>5157889.45</v>
      </c>
      <c r="J98" s="114">
        <f t="shared" si="35"/>
        <v>5157889.45</v>
      </c>
      <c r="K98" s="114">
        <f t="shared" si="29"/>
        <v>5157889.45</v>
      </c>
      <c r="L98" s="115">
        <v>419420</v>
      </c>
      <c r="M98" s="115"/>
      <c r="N98" s="115">
        <v>419420</v>
      </c>
      <c r="O98" s="115">
        <v>419420</v>
      </c>
      <c r="P98" s="116">
        <f t="shared" si="36"/>
        <v>5577309.4500000002</v>
      </c>
      <c r="Q98" s="116">
        <f t="shared" si="38"/>
        <v>0</v>
      </c>
      <c r="R98" s="117">
        <f t="shared" si="19"/>
        <v>5577309.4500000002</v>
      </c>
      <c r="S98" s="117"/>
      <c r="T98" s="117">
        <f t="shared" si="20"/>
        <v>5577309.4500000002</v>
      </c>
      <c r="U98" s="105"/>
      <c r="V98" s="105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9"/>
      <c r="AH98" s="119"/>
      <c r="AI98" s="119"/>
      <c r="AJ98" s="110"/>
      <c r="AK98" s="111"/>
      <c r="AL98" s="111"/>
      <c r="AM98" s="119">
        <f>5576109.45+1200</f>
        <v>5577309.4500000002</v>
      </c>
      <c r="AN98" s="119"/>
      <c r="AO98" s="119">
        <v>5576109.4500000002</v>
      </c>
      <c r="AP98" s="119">
        <v>5576109.4500000002</v>
      </c>
    </row>
    <row r="99" spans="1:42" ht="110.1" customHeight="1" x14ac:dyDescent="0.25">
      <c r="A99" s="203"/>
      <c r="B99" s="204"/>
      <c r="C99" s="174">
        <f t="shared" si="37"/>
        <v>25</v>
      </c>
      <c r="D99" s="89" t="s">
        <v>176</v>
      </c>
      <c r="E99" s="184">
        <v>0</v>
      </c>
      <c r="F99" s="114" t="e">
        <f t="shared" si="31"/>
        <v>#DIV/0!</v>
      </c>
      <c r="G99" s="114" t="e">
        <f t="shared" si="32"/>
        <v>#DIV/0!</v>
      </c>
      <c r="H99" s="114" t="e">
        <f>K99/E99</f>
        <v>#DIV/0!</v>
      </c>
      <c r="I99" s="114">
        <f t="shared" si="34"/>
        <v>8508573.0399999991</v>
      </c>
      <c r="J99" s="114">
        <f t="shared" si="35"/>
        <v>8508573.0399999991</v>
      </c>
      <c r="K99" s="114">
        <f t="shared" si="29"/>
        <v>8508573.0399999991</v>
      </c>
      <c r="L99" s="115">
        <v>460560</v>
      </c>
      <c r="M99" s="115"/>
      <c r="N99" s="115">
        <v>460560</v>
      </c>
      <c r="O99" s="115">
        <v>460560</v>
      </c>
      <c r="P99" s="116">
        <f t="shared" si="36"/>
        <v>8969133.0399999991</v>
      </c>
      <c r="Q99" s="116">
        <f t="shared" si="38"/>
        <v>0</v>
      </c>
      <c r="R99" s="117">
        <f t="shared" si="19"/>
        <v>8969133.0399999991</v>
      </c>
      <c r="S99" s="117"/>
      <c r="T99" s="117">
        <f t="shared" si="20"/>
        <v>8969133.0399999991</v>
      </c>
      <c r="U99" s="105"/>
      <c r="V99" s="105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9"/>
      <c r="AH99" s="119"/>
      <c r="AI99" s="119"/>
      <c r="AJ99" s="110"/>
      <c r="AK99" s="111"/>
      <c r="AL99" s="111"/>
      <c r="AM99" s="119">
        <f>4594380+4374753.04</f>
        <v>8969133.0399999991</v>
      </c>
      <c r="AN99" s="119"/>
      <c r="AO99" s="119">
        <v>4594380</v>
      </c>
      <c r="AP99" s="119">
        <v>4594380</v>
      </c>
    </row>
    <row r="100" spans="1:42" ht="110.1" customHeight="1" x14ac:dyDescent="0.25">
      <c r="A100" s="203"/>
      <c r="B100" s="204"/>
      <c r="C100" s="174">
        <f t="shared" si="37"/>
        <v>26</v>
      </c>
      <c r="D100" s="89" t="s">
        <v>12</v>
      </c>
      <c r="E100" s="184">
        <v>177</v>
      </c>
      <c r="F100" s="114">
        <f t="shared" si="31"/>
        <v>35811.418700564973</v>
      </c>
      <c r="G100" s="114">
        <f t="shared" si="32"/>
        <v>35811.418700564973</v>
      </c>
      <c r="H100" s="114">
        <f t="shared" si="33"/>
        <v>35811.418700564973</v>
      </c>
      <c r="I100" s="114">
        <f t="shared" si="34"/>
        <v>6338621.1100000003</v>
      </c>
      <c r="J100" s="114">
        <f t="shared" si="35"/>
        <v>6338621.1100000003</v>
      </c>
      <c r="K100" s="114">
        <f t="shared" si="29"/>
        <v>6338621.1100000003</v>
      </c>
      <c r="L100" s="115">
        <v>926950</v>
      </c>
      <c r="M100" s="115"/>
      <c r="N100" s="115">
        <v>926950</v>
      </c>
      <c r="O100" s="115">
        <v>926950</v>
      </c>
      <c r="P100" s="116">
        <f t="shared" si="36"/>
        <v>7265571.1100000003</v>
      </c>
      <c r="Q100" s="116">
        <f t="shared" si="38"/>
        <v>0</v>
      </c>
      <c r="R100" s="117">
        <f t="shared" si="19"/>
        <v>7265571.1100000003</v>
      </c>
      <c r="S100" s="117"/>
      <c r="T100" s="117">
        <f t="shared" si="20"/>
        <v>7265571.1100000003</v>
      </c>
      <c r="U100" s="105"/>
      <c r="V100" s="105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9"/>
      <c r="AH100" s="119"/>
      <c r="AI100" s="119"/>
      <c r="AJ100" s="110"/>
      <c r="AK100" s="111"/>
      <c r="AL100" s="111"/>
      <c r="AM100" s="119">
        <v>7265571.1100000003</v>
      </c>
      <c r="AN100" s="119"/>
      <c r="AO100" s="119">
        <v>7265571.1100000003</v>
      </c>
      <c r="AP100" s="119">
        <v>7265571.1100000003</v>
      </c>
    </row>
    <row r="101" spans="1:42" ht="110.1" customHeight="1" x14ac:dyDescent="0.25">
      <c r="A101" s="203"/>
      <c r="B101" s="204"/>
      <c r="C101" s="174">
        <f t="shared" si="37"/>
        <v>27</v>
      </c>
      <c r="D101" s="89" t="s">
        <v>220</v>
      </c>
      <c r="E101" s="184">
        <v>155</v>
      </c>
      <c r="F101" s="114">
        <f t="shared" si="31"/>
        <v>43678.031161290324</v>
      </c>
      <c r="G101" s="114">
        <f t="shared" si="32"/>
        <v>43678.031161290324</v>
      </c>
      <c r="H101" s="114">
        <f t="shared" si="33"/>
        <v>43678.031161290324</v>
      </c>
      <c r="I101" s="114">
        <f t="shared" si="34"/>
        <v>6770094.8300000001</v>
      </c>
      <c r="J101" s="114">
        <f t="shared" si="35"/>
        <v>6770094.8300000001</v>
      </c>
      <c r="K101" s="114">
        <f t="shared" si="29"/>
        <v>6770094.8300000001</v>
      </c>
      <c r="L101" s="115">
        <v>818370</v>
      </c>
      <c r="M101" s="115"/>
      <c r="N101" s="115">
        <v>818370</v>
      </c>
      <c r="O101" s="115">
        <v>818370</v>
      </c>
      <c r="P101" s="116">
        <f t="shared" si="36"/>
        <v>7588464.8300000001</v>
      </c>
      <c r="Q101" s="116">
        <f t="shared" si="38"/>
        <v>0</v>
      </c>
      <c r="R101" s="117">
        <f t="shared" si="19"/>
        <v>7588464.8300000001</v>
      </c>
      <c r="S101" s="117"/>
      <c r="T101" s="117">
        <f t="shared" si="20"/>
        <v>7588464.8300000001</v>
      </c>
      <c r="U101" s="105"/>
      <c r="V101" s="105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9"/>
      <c r="AH101" s="119"/>
      <c r="AI101" s="119"/>
      <c r="AJ101" s="110"/>
      <c r="AK101" s="111"/>
      <c r="AL101" s="111"/>
      <c r="AM101" s="119">
        <f>7586664.83+1800</f>
        <v>7588464.8300000001</v>
      </c>
      <c r="AN101" s="119"/>
      <c r="AO101" s="119">
        <v>7586664.8300000001</v>
      </c>
      <c r="AP101" s="119">
        <v>7586664.8300000001</v>
      </c>
    </row>
    <row r="102" spans="1:42" ht="110.1" customHeight="1" x14ac:dyDescent="0.25">
      <c r="A102" s="203"/>
      <c r="B102" s="204"/>
      <c r="C102" s="174">
        <f t="shared" si="37"/>
        <v>28</v>
      </c>
      <c r="D102" s="89" t="s">
        <v>88</v>
      </c>
      <c r="E102" s="184">
        <v>153</v>
      </c>
      <c r="F102" s="114">
        <f t="shared" si="31"/>
        <v>31294.230718954248</v>
      </c>
      <c r="G102" s="114">
        <f t="shared" si="32"/>
        <v>31294.230718954248</v>
      </c>
      <c r="H102" s="114">
        <f t="shared" si="33"/>
        <v>31294.230718954248</v>
      </c>
      <c r="I102" s="114">
        <f t="shared" si="34"/>
        <v>4788017.3</v>
      </c>
      <c r="J102" s="114">
        <f t="shared" si="35"/>
        <v>4788017.3</v>
      </c>
      <c r="K102" s="114">
        <f t="shared" si="29"/>
        <v>4788017.3</v>
      </c>
      <c r="L102" s="115">
        <v>632360</v>
      </c>
      <c r="M102" s="115"/>
      <c r="N102" s="115">
        <v>632360</v>
      </c>
      <c r="O102" s="115">
        <v>632360</v>
      </c>
      <c r="P102" s="116">
        <f t="shared" si="36"/>
        <v>5420377.2999999998</v>
      </c>
      <c r="Q102" s="116">
        <f t="shared" si="38"/>
        <v>0</v>
      </c>
      <c r="R102" s="117">
        <f t="shared" si="19"/>
        <v>5420377.2999999998</v>
      </c>
      <c r="S102" s="117"/>
      <c r="T102" s="117">
        <f t="shared" si="20"/>
        <v>5420377.2999999998</v>
      </c>
      <c r="U102" s="105"/>
      <c r="V102" s="105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9"/>
      <c r="AH102" s="119"/>
      <c r="AI102" s="119"/>
      <c r="AJ102" s="110"/>
      <c r="AK102" s="111"/>
      <c r="AL102" s="111"/>
      <c r="AM102" s="119">
        <f>5419777.3+600</f>
        <v>5420377.2999999998</v>
      </c>
      <c r="AN102" s="119"/>
      <c r="AO102" s="119">
        <v>5419777.2999999998</v>
      </c>
      <c r="AP102" s="119">
        <v>5419777.2999999998</v>
      </c>
    </row>
    <row r="103" spans="1:42" ht="110.1" customHeight="1" x14ac:dyDescent="0.25">
      <c r="A103" s="203"/>
      <c r="B103" s="204"/>
      <c r="C103" s="174">
        <f t="shared" si="37"/>
        <v>29</v>
      </c>
      <c r="D103" s="89" t="s">
        <v>89</v>
      </c>
      <c r="E103" s="184">
        <v>265</v>
      </c>
      <c r="F103" s="114">
        <f t="shared" si="31"/>
        <v>23140.333018867925</v>
      </c>
      <c r="G103" s="114">
        <f t="shared" si="32"/>
        <v>23140.333018867925</v>
      </c>
      <c r="H103" s="114">
        <f t="shared" si="33"/>
        <v>23140.333018867925</v>
      </c>
      <c r="I103" s="114">
        <f t="shared" si="34"/>
        <v>6132188.25</v>
      </c>
      <c r="J103" s="114">
        <f t="shared" si="35"/>
        <v>6132188.25</v>
      </c>
      <c r="K103" s="114">
        <f t="shared" si="29"/>
        <v>6132188.25</v>
      </c>
      <c r="L103" s="115">
        <v>901260</v>
      </c>
      <c r="M103" s="115"/>
      <c r="N103" s="115">
        <v>901260</v>
      </c>
      <c r="O103" s="115">
        <v>901260</v>
      </c>
      <c r="P103" s="116">
        <f t="shared" si="36"/>
        <v>7033448.25</v>
      </c>
      <c r="Q103" s="116">
        <f t="shared" si="38"/>
        <v>0</v>
      </c>
      <c r="R103" s="117">
        <f t="shared" si="19"/>
        <v>7033448.25</v>
      </c>
      <c r="S103" s="117"/>
      <c r="T103" s="117">
        <f t="shared" si="20"/>
        <v>7033448.25</v>
      </c>
      <c r="U103" s="105"/>
      <c r="V103" s="105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9"/>
      <c r="AH103" s="119"/>
      <c r="AI103" s="119"/>
      <c r="AJ103" s="110"/>
      <c r="AK103" s="111"/>
      <c r="AL103" s="111"/>
      <c r="AM103" s="119">
        <f>7032247.25+1201</f>
        <v>7033448.25</v>
      </c>
      <c r="AN103" s="119"/>
      <c r="AO103" s="119">
        <v>7032247.25</v>
      </c>
      <c r="AP103" s="119">
        <v>7032247.25</v>
      </c>
    </row>
    <row r="104" spans="1:42" ht="110.1" customHeight="1" x14ac:dyDescent="0.25">
      <c r="A104" s="203"/>
      <c r="B104" s="204"/>
      <c r="C104" s="174">
        <f t="shared" si="37"/>
        <v>30</v>
      </c>
      <c r="D104" s="89" t="s">
        <v>90</v>
      </c>
      <c r="E104" s="184">
        <v>80</v>
      </c>
      <c r="F104" s="114">
        <f t="shared" si="31"/>
        <v>56474.808375000001</v>
      </c>
      <c r="G104" s="114">
        <f t="shared" si="32"/>
        <v>56474.808375000001</v>
      </c>
      <c r="H104" s="114">
        <f t="shared" si="33"/>
        <v>56474.808375000001</v>
      </c>
      <c r="I104" s="114">
        <f t="shared" si="34"/>
        <v>4517984.67</v>
      </c>
      <c r="J104" s="114">
        <f t="shared" si="35"/>
        <v>4517984.67</v>
      </c>
      <c r="K104" s="114">
        <f t="shared" si="29"/>
        <v>4517984.67</v>
      </c>
      <c r="L104" s="115">
        <v>974100</v>
      </c>
      <c r="M104" s="115"/>
      <c r="N104" s="115">
        <v>974100</v>
      </c>
      <c r="O104" s="115">
        <v>974100</v>
      </c>
      <c r="P104" s="116">
        <f t="shared" si="36"/>
        <v>5492084.6699999999</v>
      </c>
      <c r="Q104" s="116">
        <f t="shared" si="38"/>
        <v>0</v>
      </c>
      <c r="R104" s="117">
        <f t="shared" si="19"/>
        <v>5492084.6699999999</v>
      </c>
      <c r="S104" s="117"/>
      <c r="T104" s="117">
        <f t="shared" si="20"/>
        <v>5492084.6699999999</v>
      </c>
      <c r="U104" s="105"/>
      <c r="V104" s="105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9"/>
      <c r="AH104" s="119"/>
      <c r="AI104" s="119"/>
      <c r="AJ104" s="110"/>
      <c r="AK104" s="111"/>
      <c r="AL104" s="111"/>
      <c r="AM104" s="119">
        <f>5491484.67+600</f>
        <v>5492084.6699999999</v>
      </c>
      <c r="AN104" s="119"/>
      <c r="AO104" s="119">
        <v>5491484.6699999999</v>
      </c>
      <c r="AP104" s="119">
        <v>5491484.6699999999</v>
      </c>
    </row>
    <row r="105" spans="1:42" ht="110.1" customHeight="1" x14ac:dyDescent="0.25">
      <c r="A105" s="203"/>
      <c r="B105" s="204"/>
      <c r="C105" s="174">
        <f t="shared" si="37"/>
        <v>31</v>
      </c>
      <c r="D105" s="89" t="s">
        <v>91</v>
      </c>
      <c r="E105" s="184">
        <v>179</v>
      </c>
      <c r="F105" s="114">
        <f t="shared" si="31"/>
        <v>32303.179888268158</v>
      </c>
      <c r="G105" s="114">
        <f t="shared" si="32"/>
        <v>32303.179888268158</v>
      </c>
      <c r="H105" s="114">
        <f t="shared" si="33"/>
        <v>32303.179888268158</v>
      </c>
      <c r="I105" s="114">
        <f t="shared" si="34"/>
        <v>5782269.2000000002</v>
      </c>
      <c r="J105" s="114">
        <f t="shared" si="35"/>
        <v>5782269.2000000002</v>
      </c>
      <c r="K105" s="114">
        <f t="shared" si="29"/>
        <v>5782269.2000000002</v>
      </c>
      <c r="L105" s="115">
        <v>659700</v>
      </c>
      <c r="M105" s="115"/>
      <c r="N105" s="115">
        <v>659700</v>
      </c>
      <c r="O105" s="115">
        <v>659700</v>
      </c>
      <c r="P105" s="116">
        <f t="shared" si="36"/>
        <v>6441969.2000000002</v>
      </c>
      <c r="Q105" s="116">
        <f t="shared" si="38"/>
        <v>0</v>
      </c>
      <c r="R105" s="117">
        <f t="shared" si="19"/>
        <v>6441969.2000000002</v>
      </c>
      <c r="S105" s="117"/>
      <c r="T105" s="117">
        <f t="shared" si="20"/>
        <v>6441969.2000000002</v>
      </c>
      <c r="U105" s="105"/>
      <c r="V105" s="105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9"/>
      <c r="AH105" s="119"/>
      <c r="AI105" s="119"/>
      <c r="AJ105" s="110"/>
      <c r="AK105" s="111"/>
      <c r="AL105" s="111"/>
      <c r="AM105" s="119">
        <f>6440769.2+1200</f>
        <v>6441969.2000000002</v>
      </c>
      <c r="AN105" s="119"/>
      <c r="AO105" s="119">
        <v>6440769.2000000002</v>
      </c>
      <c r="AP105" s="119">
        <v>6440769.2000000002</v>
      </c>
    </row>
    <row r="106" spans="1:42" ht="110.1" customHeight="1" x14ac:dyDescent="0.25">
      <c r="A106" s="203"/>
      <c r="B106" s="204"/>
      <c r="C106" s="174">
        <f t="shared" si="37"/>
        <v>32</v>
      </c>
      <c r="D106" s="89" t="s">
        <v>92</v>
      </c>
      <c r="E106" s="184">
        <v>115</v>
      </c>
      <c r="F106" s="114">
        <f t="shared" si="31"/>
        <v>33987.881999999998</v>
      </c>
      <c r="G106" s="114">
        <f t="shared" si="32"/>
        <v>33987.881999999998</v>
      </c>
      <c r="H106" s="114">
        <f t="shared" si="33"/>
        <v>33987.881999999998</v>
      </c>
      <c r="I106" s="114">
        <f t="shared" si="34"/>
        <v>3908606.4299999997</v>
      </c>
      <c r="J106" s="114">
        <f t="shared" si="35"/>
        <v>3908606.4299999997</v>
      </c>
      <c r="K106" s="114">
        <f t="shared" si="29"/>
        <v>3908606.4299999997</v>
      </c>
      <c r="L106" s="115">
        <v>443640</v>
      </c>
      <c r="M106" s="115"/>
      <c r="N106" s="115">
        <v>443640</v>
      </c>
      <c r="O106" s="115">
        <v>443640</v>
      </c>
      <c r="P106" s="116">
        <f t="shared" si="36"/>
        <v>4352246.43</v>
      </c>
      <c r="Q106" s="116">
        <f t="shared" si="38"/>
        <v>0</v>
      </c>
      <c r="R106" s="117">
        <f t="shared" si="19"/>
        <v>4352246.43</v>
      </c>
      <c r="S106" s="117"/>
      <c r="T106" s="117">
        <f t="shared" si="20"/>
        <v>4352246.43</v>
      </c>
      <c r="U106" s="105"/>
      <c r="V106" s="105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9"/>
      <c r="AH106" s="119"/>
      <c r="AI106" s="119"/>
      <c r="AJ106" s="110"/>
      <c r="AK106" s="111"/>
      <c r="AL106" s="111"/>
      <c r="AM106" s="119">
        <v>4352246.43</v>
      </c>
      <c r="AN106" s="119"/>
      <c r="AO106" s="119">
        <v>4352246.43</v>
      </c>
      <c r="AP106" s="119">
        <v>4352246.43</v>
      </c>
    </row>
    <row r="107" spans="1:42" ht="110.1" customHeight="1" x14ac:dyDescent="0.25">
      <c r="A107" s="203"/>
      <c r="B107" s="204"/>
      <c r="C107" s="174">
        <f t="shared" si="37"/>
        <v>33</v>
      </c>
      <c r="D107" s="89" t="s">
        <v>221</v>
      </c>
      <c r="E107" s="184">
        <v>263</v>
      </c>
      <c r="F107" s="114">
        <f t="shared" si="31"/>
        <v>33504.759125475284</v>
      </c>
      <c r="G107" s="114">
        <f t="shared" si="32"/>
        <v>33504.759125475284</v>
      </c>
      <c r="H107" s="114">
        <f t="shared" si="33"/>
        <v>33504.759125475284</v>
      </c>
      <c r="I107" s="114">
        <f t="shared" si="34"/>
        <v>8811751.6500000004</v>
      </c>
      <c r="J107" s="114">
        <f t="shared" si="35"/>
        <v>8811751.6500000004</v>
      </c>
      <c r="K107" s="114">
        <f t="shared" ref="K107:K142" si="39">T107-O107</f>
        <v>8811751.6500000004</v>
      </c>
      <c r="L107" s="115">
        <v>1585700</v>
      </c>
      <c r="M107" s="115"/>
      <c r="N107" s="115">
        <v>1585700</v>
      </c>
      <c r="O107" s="115">
        <v>1585700</v>
      </c>
      <c r="P107" s="116">
        <f t="shared" si="36"/>
        <v>10397451.65</v>
      </c>
      <c r="Q107" s="116">
        <f t="shared" si="38"/>
        <v>0</v>
      </c>
      <c r="R107" s="117">
        <f t="shared" si="19"/>
        <v>10397451.65</v>
      </c>
      <c r="S107" s="117"/>
      <c r="T107" s="117">
        <f t="shared" si="20"/>
        <v>10397451.65</v>
      </c>
      <c r="U107" s="105"/>
      <c r="V107" s="105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9"/>
      <c r="AH107" s="119"/>
      <c r="AI107" s="119"/>
      <c r="AJ107" s="110"/>
      <c r="AK107" s="111"/>
      <c r="AL107" s="111"/>
      <c r="AM107" s="119">
        <f>10395651.65+1800</f>
        <v>10397451.65</v>
      </c>
      <c r="AN107" s="119"/>
      <c r="AO107" s="119">
        <v>10395651.65</v>
      </c>
      <c r="AP107" s="119">
        <v>10395651.65</v>
      </c>
    </row>
    <row r="108" spans="1:42" ht="110.1" customHeight="1" x14ac:dyDescent="0.25">
      <c r="A108" s="203"/>
      <c r="B108" s="204"/>
      <c r="C108" s="174">
        <f t="shared" si="37"/>
        <v>34</v>
      </c>
      <c r="D108" s="89" t="s">
        <v>94</v>
      </c>
      <c r="E108" s="184">
        <v>131</v>
      </c>
      <c r="F108" s="114">
        <f t="shared" si="31"/>
        <v>36097.119312977098</v>
      </c>
      <c r="G108" s="114">
        <f t="shared" si="32"/>
        <v>36097.119312977098</v>
      </c>
      <c r="H108" s="114">
        <f t="shared" si="33"/>
        <v>36097.119312977098</v>
      </c>
      <c r="I108" s="114">
        <f t="shared" si="34"/>
        <v>4728722.63</v>
      </c>
      <c r="J108" s="114">
        <f t="shared" si="35"/>
        <v>4728722.63</v>
      </c>
      <c r="K108" s="114">
        <f t="shared" si="39"/>
        <v>4728722.63</v>
      </c>
      <c r="L108" s="115">
        <v>475820</v>
      </c>
      <c r="M108" s="115"/>
      <c r="N108" s="115">
        <v>475820</v>
      </c>
      <c r="O108" s="115">
        <v>475820</v>
      </c>
      <c r="P108" s="116">
        <f t="shared" si="36"/>
        <v>5204542.63</v>
      </c>
      <c r="Q108" s="116">
        <f t="shared" si="38"/>
        <v>0</v>
      </c>
      <c r="R108" s="117">
        <f t="shared" si="19"/>
        <v>5204542.63</v>
      </c>
      <c r="S108" s="117"/>
      <c r="T108" s="117">
        <f t="shared" si="20"/>
        <v>5204542.63</v>
      </c>
      <c r="U108" s="105"/>
      <c r="V108" s="105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9"/>
      <c r="AH108" s="119"/>
      <c r="AI108" s="119"/>
      <c r="AJ108" s="110"/>
      <c r="AK108" s="111"/>
      <c r="AL108" s="111"/>
      <c r="AM108" s="119">
        <f>5203342.63+1200</f>
        <v>5204542.63</v>
      </c>
      <c r="AN108" s="119"/>
      <c r="AO108" s="119">
        <v>5203342.63</v>
      </c>
      <c r="AP108" s="119">
        <v>5203342.63</v>
      </c>
    </row>
    <row r="109" spans="1:42" ht="110.1" customHeight="1" x14ac:dyDescent="0.25">
      <c r="A109" s="203"/>
      <c r="B109" s="204"/>
      <c r="C109" s="174">
        <f t="shared" si="37"/>
        <v>35</v>
      </c>
      <c r="D109" s="89" t="s">
        <v>222</v>
      </c>
      <c r="E109" s="184">
        <v>80</v>
      </c>
      <c r="F109" s="114">
        <f t="shared" si="31"/>
        <v>45289.069125000002</v>
      </c>
      <c r="G109" s="114">
        <f t="shared" si="32"/>
        <v>45289.069125000002</v>
      </c>
      <c r="H109" s="114">
        <f t="shared" si="33"/>
        <v>45289.069125000002</v>
      </c>
      <c r="I109" s="114">
        <f t="shared" si="34"/>
        <v>3623125.5300000003</v>
      </c>
      <c r="J109" s="114">
        <f t="shared" si="35"/>
        <v>3623125.5300000003</v>
      </c>
      <c r="K109" s="114">
        <f t="shared" si="39"/>
        <v>3623125.5300000003</v>
      </c>
      <c r="L109" s="115">
        <v>587950</v>
      </c>
      <c r="M109" s="115"/>
      <c r="N109" s="115">
        <v>587950</v>
      </c>
      <c r="O109" s="115">
        <v>587950</v>
      </c>
      <c r="P109" s="116">
        <f t="shared" si="36"/>
        <v>4211075.53</v>
      </c>
      <c r="Q109" s="116">
        <f t="shared" si="38"/>
        <v>0</v>
      </c>
      <c r="R109" s="117">
        <f t="shared" si="19"/>
        <v>4211075.53</v>
      </c>
      <c r="S109" s="117"/>
      <c r="T109" s="117">
        <f t="shared" si="20"/>
        <v>4211075.53</v>
      </c>
      <c r="U109" s="105"/>
      <c r="V109" s="105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9"/>
      <c r="AH109" s="119"/>
      <c r="AI109" s="119"/>
      <c r="AJ109" s="110"/>
      <c r="AK109" s="111"/>
      <c r="AL109" s="111"/>
      <c r="AM109" s="119">
        <f>4210475.53+600</f>
        <v>4211075.53</v>
      </c>
      <c r="AN109" s="119"/>
      <c r="AO109" s="119">
        <v>4210475.53</v>
      </c>
      <c r="AP109" s="119">
        <v>4210475.53</v>
      </c>
    </row>
    <row r="110" spans="1:42" ht="110.1" customHeight="1" x14ac:dyDescent="0.25">
      <c r="A110" s="203"/>
      <c r="B110" s="204"/>
      <c r="C110" s="174">
        <f t="shared" si="37"/>
        <v>36</v>
      </c>
      <c r="D110" s="89" t="s">
        <v>13</v>
      </c>
      <c r="E110" s="184">
        <v>102</v>
      </c>
      <c r="F110" s="114">
        <f t="shared" si="31"/>
        <v>42242.103039215683</v>
      </c>
      <c r="G110" s="114">
        <f t="shared" si="32"/>
        <v>42242.103039215683</v>
      </c>
      <c r="H110" s="114">
        <f t="shared" si="33"/>
        <v>42242.103039215683</v>
      </c>
      <c r="I110" s="114">
        <f t="shared" si="34"/>
        <v>4308694.51</v>
      </c>
      <c r="J110" s="114">
        <f t="shared" si="35"/>
        <v>4308694.51</v>
      </c>
      <c r="K110" s="114">
        <f t="shared" si="39"/>
        <v>4308694.51</v>
      </c>
      <c r="L110" s="115">
        <v>590270</v>
      </c>
      <c r="M110" s="115"/>
      <c r="N110" s="115">
        <v>590270</v>
      </c>
      <c r="O110" s="115">
        <v>590270</v>
      </c>
      <c r="P110" s="116">
        <f t="shared" si="36"/>
        <v>4898964.51</v>
      </c>
      <c r="Q110" s="116">
        <f t="shared" si="38"/>
        <v>0</v>
      </c>
      <c r="R110" s="117">
        <f t="shared" si="19"/>
        <v>4898964.51</v>
      </c>
      <c r="S110" s="117"/>
      <c r="T110" s="117">
        <f t="shared" si="20"/>
        <v>4898964.51</v>
      </c>
      <c r="U110" s="105"/>
      <c r="V110" s="105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9"/>
      <c r="AH110" s="119"/>
      <c r="AI110" s="119"/>
      <c r="AJ110" s="110"/>
      <c r="AK110" s="111"/>
      <c r="AL110" s="111"/>
      <c r="AM110" s="119">
        <f>4897764.51+1200</f>
        <v>4898964.51</v>
      </c>
      <c r="AN110" s="119"/>
      <c r="AO110" s="119">
        <v>4897764.51</v>
      </c>
      <c r="AP110" s="119">
        <v>4897764.51</v>
      </c>
    </row>
    <row r="111" spans="1:42" ht="110.1" customHeight="1" x14ac:dyDescent="0.25">
      <c r="A111" s="203"/>
      <c r="B111" s="204"/>
      <c r="C111" s="174">
        <f t="shared" si="37"/>
        <v>37</v>
      </c>
      <c r="D111" s="89" t="s">
        <v>96</v>
      </c>
      <c r="E111" s="184">
        <v>238</v>
      </c>
      <c r="F111" s="114">
        <f t="shared" si="31"/>
        <v>41712.729789915968</v>
      </c>
      <c r="G111" s="114">
        <f t="shared" si="32"/>
        <v>41712.729789915968</v>
      </c>
      <c r="H111" s="114">
        <f t="shared" si="33"/>
        <v>41712.729789915968</v>
      </c>
      <c r="I111" s="114">
        <f t="shared" si="34"/>
        <v>9927629.6899999995</v>
      </c>
      <c r="J111" s="114">
        <f t="shared" si="35"/>
        <v>9927629.6899999995</v>
      </c>
      <c r="K111" s="114">
        <f t="shared" si="39"/>
        <v>9927629.6899999995</v>
      </c>
      <c r="L111" s="115">
        <v>6495930</v>
      </c>
      <c r="M111" s="115"/>
      <c r="N111" s="115">
        <v>6495930</v>
      </c>
      <c r="O111" s="115">
        <v>6495930</v>
      </c>
      <c r="P111" s="116">
        <f t="shared" si="36"/>
        <v>16423559.689999999</v>
      </c>
      <c r="Q111" s="116">
        <f t="shared" si="38"/>
        <v>0</v>
      </c>
      <c r="R111" s="117">
        <f t="shared" si="19"/>
        <v>16423559.689999999</v>
      </c>
      <c r="S111" s="117"/>
      <c r="T111" s="117">
        <f t="shared" si="20"/>
        <v>16423559.689999999</v>
      </c>
      <c r="U111" s="105"/>
      <c r="V111" s="105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9"/>
      <c r="AH111" s="119"/>
      <c r="AI111" s="119"/>
      <c r="AJ111" s="110"/>
      <c r="AK111" s="111"/>
      <c r="AL111" s="111"/>
      <c r="AM111" s="119">
        <f>16419959.69+3600</f>
        <v>16423559.689999999</v>
      </c>
      <c r="AN111" s="119"/>
      <c r="AO111" s="119">
        <v>16419959.689999999</v>
      </c>
      <c r="AP111" s="119">
        <v>16419959.689999999</v>
      </c>
    </row>
    <row r="112" spans="1:42" ht="110.1" customHeight="1" x14ac:dyDescent="0.25">
      <c r="A112" s="203"/>
      <c r="B112" s="204"/>
      <c r="C112" s="174">
        <f t="shared" si="37"/>
        <v>38</v>
      </c>
      <c r="D112" s="89" t="s">
        <v>97</v>
      </c>
      <c r="E112" s="184">
        <v>81</v>
      </c>
      <c r="F112" s="114">
        <f t="shared" si="31"/>
        <v>45082.883086419759</v>
      </c>
      <c r="G112" s="114">
        <f t="shared" si="32"/>
        <v>45082.883086419759</v>
      </c>
      <c r="H112" s="114">
        <f t="shared" si="33"/>
        <v>45082.883086419759</v>
      </c>
      <c r="I112" s="114">
        <f t="shared" si="34"/>
        <v>3651713.5300000003</v>
      </c>
      <c r="J112" s="114">
        <f t="shared" si="35"/>
        <v>3651713.5300000003</v>
      </c>
      <c r="K112" s="114">
        <f t="shared" si="39"/>
        <v>3651713.5300000003</v>
      </c>
      <c r="L112" s="115">
        <v>622490</v>
      </c>
      <c r="M112" s="115"/>
      <c r="N112" s="115">
        <v>622490</v>
      </c>
      <c r="O112" s="115">
        <v>622490</v>
      </c>
      <c r="P112" s="116">
        <f t="shared" si="36"/>
        <v>4274203.53</v>
      </c>
      <c r="Q112" s="116">
        <f t="shared" si="38"/>
        <v>0</v>
      </c>
      <c r="R112" s="117">
        <f t="shared" si="19"/>
        <v>4274203.53</v>
      </c>
      <c r="S112" s="117"/>
      <c r="T112" s="117">
        <f t="shared" si="20"/>
        <v>4274203.53</v>
      </c>
      <c r="U112" s="105"/>
      <c r="V112" s="105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9"/>
      <c r="AH112" s="119"/>
      <c r="AI112" s="119"/>
      <c r="AJ112" s="110"/>
      <c r="AK112" s="111"/>
      <c r="AL112" s="111"/>
      <c r="AM112" s="119">
        <v>4274203.53</v>
      </c>
      <c r="AN112" s="119"/>
      <c r="AO112" s="119">
        <v>4274203.53</v>
      </c>
      <c r="AP112" s="119">
        <v>4274203.53</v>
      </c>
    </row>
    <row r="113" spans="1:42" ht="110.1" customHeight="1" x14ac:dyDescent="0.25">
      <c r="A113" s="203"/>
      <c r="B113" s="204"/>
      <c r="C113" s="174">
        <f t="shared" si="37"/>
        <v>39</v>
      </c>
      <c r="D113" s="89" t="s">
        <v>98</v>
      </c>
      <c r="E113" s="184">
        <v>66</v>
      </c>
      <c r="F113" s="114">
        <f t="shared" si="31"/>
        <v>53180.644090909089</v>
      </c>
      <c r="G113" s="114">
        <f t="shared" si="32"/>
        <v>53180.644090909089</v>
      </c>
      <c r="H113" s="114">
        <f t="shared" si="33"/>
        <v>53180.644090909089</v>
      </c>
      <c r="I113" s="114">
        <f t="shared" si="34"/>
        <v>3509922.51</v>
      </c>
      <c r="J113" s="114">
        <f t="shared" si="35"/>
        <v>3509922.51</v>
      </c>
      <c r="K113" s="114">
        <f t="shared" si="39"/>
        <v>3509922.51</v>
      </c>
      <c r="L113" s="115">
        <v>334490</v>
      </c>
      <c r="M113" s="115"/>
      <c r="N113" s="115">
        <v>334490</v>
      </c>
      <c r="O113" s="115">
        <v>334490</v>
      </c>
      <c r="P113" s="116">
        <f t="shared" si="36"/>
        <v>3844412.51</v>
      </c>
      <c r="Q113" s="116">
        <f t="shared" si="38"/>
        <v>0</v>
      </c>
      <c r="R113" s="117">
        <f t="shared" si="19"/>
        <v>3844412.51</v>
      </c>
      <c r="S113" s="117"/>
      <c r="T113" s="117">
        <f t="shared" si="20"/>
        <v>3844412.51</v>
      </c>
      <c r="U113" s="105"/>
      <c r="V113" s="105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9"/>
      <c r="AH113" s="119"/>
      <c r="AI113" s="119"/>
      <c r="AJ113" s="110"/>
      <c r="AK113" s="111"/>
      <c r="AL113" s="111"/>
      <c r="AM113" s="119">
        <f>3843812.51+600</f>
        <v>3844412.51</v>
      </c>
      <c r="AN113" s="119"/>
      <c r="AO113" s="119">
        <v>3843812.51</v>
      </c>
      <c r="AP113" s="119">
        <v>3843812.51</v>
      </c>
    </row>
    <row r="114" spans="1:42" ht="110.1" customHeight="1" x14ac:dyDescent="0.25">
      <c r="A114" s="203"/>
      <c r="B114" s="204"/>
      <c r="C114" s="174">
        <f t="shared" si="37"/>
        <v>40</v>
      </c>
      <c r="D114" s="89" t="s">
        <v>99</v>
      </c>
      <c r="E114" s="184">
        <v>180</v>
      </c>
      <c r="F114" s="114">
        <f t="shared" si="31"/>
        <v>35339.405055555559</v>
      </c>
      <c r="G114" s="114">
        <f t="shared" si="32"/>
        <v>35339.405055555559</v>
      </c>
      <c r="H114" s="114">
        <f t="shared" si="33"/>
        <v>35339.405055555559</v>
      </c>
      <c r="I114" s="114">
        <f t="shared" si="34"/>
        <v>6361092.9100000001</v>
      </c>
      <c r="J114" s="114">
        <f t="shared" si="35"/>
        <v>6361092.9100000001</v>
      </c>
      <c r="K114" s="114">
        <f t="shared" si="39"/>
        <v>6361092.9100000001</v>
      </c>
      <c r="L114" s="115">
        <v>849460</v>
      </c>
      <c r="M114" s="115"/>
      <c r="N114" s="115">
        <v>849460</v>
      </c>
      <c r="O114" s="115">
        <v>849460</v>
      </c>
      <c r="P114" s="116">
        <f t="shared" si="36"/>
        <v>7210552.9100000001</v>
      </c>
      <c r="Q114" s="116">
        <f t="shared" si="38"/>
        <v>0</v>
      </c>
      <c r="R114" s="117">
        <f t="shared" si="19"/>
        <v>7210552.9100000001</v>
      </c>
      <c r="S114" s="117"/>
      <c r="T114" s="117">
        <f t="shared" si="20"/>
        <v>7210552.9100000001</v>
      </c>
      <c r="U114" s="105"/>
      <c r="V114" s="105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9"/>
      <c r="AH114" s="119"/>
      <c r="AI114" s="119"/>
      <c r="AJ114" s="110"/>
      <c r="AK114" s="111"/>
      <c r="AL114" s="111"/>
      <c r="AM114" s="119">
        <f>7209352.91+1200</f>
        <v>7210552.9100000001</v>
      </c>
      <c r="AN114" s="119"/>
      <c r="AO114" s="119">
        <v>7209352.9100000001</v>
      </c>
      <c r="AP114" s="119">
        <v>7209352.9100000001</v>
      </c>
    </row>
    <row r="115" spans="1:42" ht="110.1" customHeight="1" x14ac:dyDescent="0.25">
      <c r="A115" s="203"/>
      <c r="B115" s="204"/>
      <c r="C115" s="174">
        <f t="shared" si="37"/>
        <v>41</v>
      </c>
      <c r="D115" s="89" t="s">
        <v>100</v>
      </c>
      <c r="E115" s="184">
        <v>152</v>
      </c>
      <c r="F115" s="114">
        <f t="shared" si="31"/>
        <v>36476.668552631578</v>
      </c>
      <c r="G115" s="114">
        <f t="shared" si="32"/>
        <v>36476.668552631578</v>
      </c>
      <c r="H115" s="114">
        <f t="shared" si="33"/>
        <v>36476.668552631578</v>
      </c>
      <c r="I115" s="114">
        <f t="shared" si="34"/>
        <v>5544453.6200000001</v>
      </c>
      <c r="J115" s="114">
        <f t="shared" si="35"/>
        <v>5544453.6200000001</v>
      </c>
      <c r="K115" s="114">
        <f t="shared" si="39"/>
        <v>5544453.6200000001</v>
      </c>
      <c r="L115" s="115">
        <v>722500</v>
      </c>
      <c r="M115" s="115"/>
      <c r="N115" s="115">
        <v>722500</v>
      </c>
      <c r="O115" s="115">
        <v>722500</v>
      </c>
      <c r="P115" s="116">
        <f t="shared" si="36"/>
        <v>6266953.6200000001</v>
      </c>
      <c r="Q115" s="116">
        <f t="shared" si="38"/>
        <v>0</v>
      </c>
      <c r="R115" s="117">
        <f t="shared" si="19"/>
        <v>6266953.6200000001</v>
      </c>
      <c r="S115" s="117"/>
      <c r="T115" s="117">
        <f t="shared" si="20"/>
        <v>6266953.6200000001</v>
      </c>
      <c r="U115" s="105"/>
      <c r="V115" s="105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9"/>
      <c r="AH115" s="119"/>
      <c r="AI115" s="119"/>
      <c r="AJ115" s="110"/>
      <c r="AK115" s="111"/>
      <c r="AL115" s="111"/>
      <c r="AM115" s="119">
        <f>6266353.62+600</f>
        <v>6266953.6200000001</v>
      </c>
      <c r="AN115" s="119"/>
      <c r="AO115" s="119">
        <v>6266353.6200000001</v>
      </c>
      <c r="AP115" s="119">
        <v>6266353.6200000001</v>
      </c>
    </row>
    <row r="116" spans="1:42" ht="110.1" customHeight="1" x14ac:dyDescent="0.25">
      <c r="A116" s="203"/>
      <c r="B116" s="204"/>
      <c r="C116" s="174">
        <f t="shared" si="37"/>
        <v>42</v>
      </c>
      <c r="D116" s="89" t="s">
        <v>223</v>
      </c>
      <c r="E116" s="184">
        <v>450</v>
      </c>
      <c r="F116" s="114">
        <f t="shared" si="31"/>
        <v>26191.661844444443</v>
      </c>
      <c r="G116" s="114">
        <f t="shared" si="32"/>
        <v>26191.661844444443</v>
      </c>
      <c r="H116" s="114">
        <f t="shared" si="33"/>
        <v>26191.661844444443</v>
      </c>
      <c r="I116" s="114">
        <f t="shared" si="34"/>
        <v>11786247.83</v>
      </c>
      <c r="J116" s="114">
        <f t="shared" si="35"/>
        <v>11786247.83</v>
      </c>
      <c r="K116" s="114">
        <f t="shared" si="39"/>
        <v>11786247.83</v>
      </c>
      <c r="L116" s="115">
        <v>1332840</v>
      </c>
      <c r="M116" s="115"/>
      <c r="N116" s="115">
        <v>1332840</v>
      </c>
      <c r="O116" s="115">
        <v>1332840</v>
      </c>
      <c r="P116" s="116">
        <f t="shared" si="36"/>
        <v>13119087.83</v>
      </c>
      <c r="Q116" s="116">
        <f t="shared" si="38"/>
        <v>0</v>
      </c>
      <c r="R116" s="117">
        <f t="shared" si="19"/>
        <v>13119087.83</v>
      </c>
      <c r="S116" s="117"/>
      <c r="T116" s="117">
        <f t="shared" si="20"/>
        <v>13119087.83</v>
      </c>
      <c r="U116" s="105"/>
      <c r="V116" s="105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9"/>
      <c r="AH116" s="119"/>
      <c r="AI116" s="119"/>
      <c r="AJ116" s="110"/>
      <c r="AK116" s="111"/>
      <c r="AL116" s="111"/>
      <c r="AM116" s="119">
        <f>13114287.83+4800</f>
        <v>13119087.83</v>
      </c>
      <c r="AN116" s="119"/>
      <c r="AO116" s="119">
        <v>13114287.83</v>
      </c>
      <c r="AP116" s="119">
        <v>13114287.83</v>
      </c>
    </row>
    <row r="117" spans="1:42" ht="110.1" customHeight="1" x14ac:dyDescent="0.25">
      <c r="A117" s="203"/>
      <c r="B117" s="204"/>
      <c r="C117" s="174">
        <f t="shared" si="37"/>
        <v>43</v>
      </c>
      <c r="D117" s="89" t="s">
        <v>224</v>
      </c>
      <c r="E117" s="184">
        <v>233</v>
      </c>
      <c r="F117" s="114">
        <f t="shared" si="31"/>
        <v>34378.449742489269</v>
      </c>
      <c r="G117" s="114">
        <f t="shared" si="32"/>
        <v>34378.449742489269</v>
      </c>
      <c r="H117" s="114">
        <f t="shared" si="33"/>
        <v>34378.449742489269</v>
      </c>
      <c r="I117" s="114">
        <f t="shared" si="34"/>
        <v>8010178.7899999991</v>
      </c>
      <c r="J117" s="114">
        <f t="shared" si="35"/>
        <v>8010178.7899999991</v>
      </c>
      <c r="K117" s="114">
        <f t="shared" si="39"/>
        <v>8010178.7899999991</v>
      </c>
      <c r="L117" s="115">
        <v>1159620</v>
      </c>
      <c r="M117" s="115"/>
      <c r="N117" s="115">
        <v>1159620</v>
      </c>
      <c r="O117" s="115">
        <v>1159620</v>
      </c>
      <c r="P117" s="116">
        <f t="shared" si="36"/>
        <v>9169798.7899999991</v>
      </c>
      <c r="Q117" s="116">
        <f t="shared" si="38"/>
        <v>0</v>
      </c>
      <c r="R117" s="117">
        <f t="shared" si="19"/>
        <v>9169798.7899999991</v>
      </c>
      <c r="S117" s="117"/>
      <c r="T117" s="117">
        <f t="shared" si="20"/>
        <v>9169798.7899999991</v>
      </c>
      <c r="U117" s="105"/>
      <c r="V117" s="105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9"/>
      <c r="AH117" s="119"/>
      <c r="AI117" s="119"/>
      <c r="AJ117" s="110"/>
      <c r="AK117" s="111"/>
      <c r="AL117" s="111"/>
      <c r="AM117" s="119">
        <f>9166198.79+3600</f>
        <v>9169798.7899999991</v>
      </c>
      <c r="AN117" s="119"/>
      <c r="AO117" s="119">
        <v>9166198.7899999991</v>
      </c>
      <c r="AP117" s="119">
        <v>9166198.7899999991</v>
      </c>
    </row>
    <row r="118" spans="1:42" ht="110.1" customHeight="1" x14ac:dyDescent="0.25">
      <c r="A118" s="203"/>
      <c r="B118" s="204"/>
      <c r="C118" s="174">
        <f t="shared" si="37"/>
        <v>44</v>
      </c>
      <c r="D118" s="89" t="s">
        <v>103</v>
      </c>
      <c r="E118" s="184">
        <v>386</v>
      </c>
      <c r="F118" s="114">
        <f t="shared" si="31"/>
        <v>25781.66031088083</v>
      </c>
      <c r="G118" s="114">
        <f t="shared" si="32"/>
        <v>25781.66031088083</v>
      </c>
      <c r="H118" s="114">
        <f t="shared" si="33"/>
        <v>25781.66031088083</v>
      </c>
      <c r="I118" s="114">
        <f t="shared" si="34"/>
        <v>9951720.8800000008</v>
      </c>
      <c r="J118" s="114">
        <f t="shared" si="35"/>
        <v>9951720.8800000008</v>
      </c>
      <c r="K118" s="114">
        <f t="shared" si="39"/>
        <v>9951720.8800000008</v>
      </c>
      <c r="L118" s="115">
        <v>1549110</v>
      </c>
      <c r="M118" s="115"/>
      <c r="N118" s="115">
        <v>1549110</v>
      </c>
      <c r="O118" s="115">
        <v>1549110</v>
      </c>
      <c r="P118" s="116">
        <f t="shared" si="36"/>
        <v>11500830.880000001</v>
      </c>
      <c r="Q118" s="116">
        <f t="shared" si="38"/>
        <v>0</v>
      </c>
      <c r="R118" s="117">
        <f t="shared" si="19"/>
        <v>11500830.880000001</v>
      </c>
      <c r="S118" s="117"/>
      <c r="T118" s="117">
        <f t="shared" si="20"/>
        <v>11500830.880000001</v>
      </c>
      <c r="U118" s="105"/>
      <c r="V118" s="105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9"/>
      <c r="AH118" s="119"/>
      <c r="AI118" s="119"/>
      <c r="AJ118" s="110"/>
      <c r="AK118" s="111"/>
      <c r="AL118" s="111"/>
      <c r="AM118" s="119">
        <f>11497830.88+3000</f>
        <v>11500830.880000001</v>
      </c>
      <c r="AN118" s="119"/>
      <c r="AO118" s="119">
        <v>11497830.880000001</v>
      </c>
      <c r="AP118" s="119">
        <v>11497830.880000001</v>
      </c>
    </row>
    <row r="119" spans="1:42" ht="110.1" customHeight="1" x14ac:dyDescent="0.25">
      <c r="A119" s="203"/>
      <c r="B119" s="204"/>
      <c r="C119" s="174">
        <f t="shared" si="37"/>
        <v>45</v>
      </c>
      <c r="D119" s="89" t="s">
        <v>104</v>
      </c>
      <c r="E119" s="184">
        <v>382</v>
      </c>
      <c r="F119" s="114">
        <f t="shared" si="31"/>
        <v>28930.916544502616</v>
      </c>
      <c r="G119" s="114">
        <f t="shared" si="32"/>
        <v>28930.916544502616</v>
      </c>
      <c r="H119" s="114">
        <f t="shared" si="33"/>
        <v>28930.916544502616</v>
      </c>
      <c r="I119" s="114">
        <f t="shared" si="34"/>
        <v>11051610.119999999</v>
      </c>
      <c r="J119" s="114">
        <f t="shared" si="35"/>
        <v>11051610.119999999</v>
      </c>
      <c r="K119" s="114">
        <f t="shared" si="39"/>
        <v>11051610.119999999</v>
      </c>
      <c r="L119" s="115">
        <v>1393580</v>
      </c>
      <c r="M119" s="115"/>
      <c r="N119" s="115">
        <v>1393580</v>
      </c>
      <c r="O119" s="115">
        <v>1393580</v>
      </c>
      <c r="P119" s="116">
        <f t="shared" si="36"/>
        <v>12445190.119999999</v>
      </c>
      <c r="Q119" s="116">
        <f t="shared" si="38"/>
        <v>0</v>
      </c>
      <c r="R119" s="117">
        <f t="shared" si="19"/>
        <v>12445190.119999999</v>
      </c>
      <c r="S119" s="117"/>
      <c r="T119" s="117">
        <f t="shared" si="20"/>
        <v>12445190.119999999</v>
      </c>
      <c r="U119" s="105"/>
      <c r="V119" s="105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9"/>
      <c r="AH119" s="119"/>
      <c r="AI119" s="119"/>
      <c r="AJ119" s="110"/>
      <c r="AK119" s="111"/>
      <c r="AL119" s="111"/>
      <c r="AM119" s="119">
        <f>12443990.12+1200</f>
        <v>12445190.119999999</v>
      </c>
      <c r="AN119" s="119"/>
      <c r="AO119" s="119">
        <v>12443990.119999999</v>
      </c>
      <c r="AP119" s="119">
        <v>12443990.119999999</v>
      </c>
    </row>
    <row r="120" spans="1:42" ht="110.1" customHeight="1" x14ac:dyDescent="0.25">
      <c r="A120" s="203"/>
      <c r="B120" s="204"/>
      <c r="C120" s="174">
        <f t="shared" si="37"/>
        <v>46</v>
      </c>
      <c r="D120" s="89" t="s">
        <v>105</v>
      </c>
      <c r="E120" s="184">
        <v>432</v>
      </c>
      <c r="F120" s="114">
        <f t="shared" si="31"/>
        <v>25379.215694444443</v>
      </c>
      <c r="G120" s="114">
        <f t="shared" si="32"/>
        <v>25379.215694444443</v>
      </c>
      <c r="H120" s="114">
        <f t="shared" si="33"/>
        <v>25379.215694444443</v>
      </c>
      <c r="I120" s="114">
        <f t="shared" si="34"/>
        <v>10963821.18</v>
      </c>
      <c r="J120" s="114">
        <f t="shared" si="35"/>
        <v>10963821.18</v>
      </c>
      <c r="K120" s="114">
        <f t="shared" si="39"/>
        <v>10963821.18</v>
      </c>
      <c r="L120" s="115">
        <v>1634690</v>
      </c>
      <c r="M120" s="115"/>
      <c r="N120" s="115">
        <v>1634690</v>
      </c>
      <c r="O120" s="115">
        <v>1634690</v>
      </c>
      <c r="P120" s="116">
        <f t="shared" si="36"/>
        <v>12598511.18</v>
      </c>
      <c r="Q120" s="116">
        <f t="shared" si="38"/>
        <v>0</v>
      </c>
      <c r="R120" s="117">
        <f t="shared" si="19"/>
        <v>12598511.18</v>
      </c>
      <c r="S120" s="117"/>
      <c r="T120" s="117">
        <f t="shared" si="20"/>
        <v>12598511.18</v>
      </c>
      <c r="U120" s="105"/>
      <c r="V120" s="105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9"/>
      <c r="AH120" s="119"/>
      <c r="AI120" s="119"/>
      <c r="AJ120" s="110"/>
      <c r="AK120" s="111"/>
      <c r="AL120" s="111"/>
      <c r="AM120" s="119">
        <f>12595511.18+3000</f>
        <v>12598511.18</v>
      </c>
      <c r="AN120" s="119"/>
      <c r="AO120" s="119">
        <v>12595511.18</v>
      </c>
      <c r="AP120" s="119">
        <v>12595511.18</v>
      </c>
    </row>
    <row r="121" spans="1:42" ht="110.1" customHeight="1" x14ac:dyDescent="0.25">
      <c r="A121" s="203"/>
      <c r="B121" s="204"/>
      <c r="C121" s="174">
        <f t="shared" si="37"/>
        <v>47</v>
      </c>
      <c r="D121" s="89" t="s">
        <v>177</v>
      </c>
      <c r="E121" s="184">
        <v>210</v>
      </c>
      <c r="F121" s="114">
        <f t="shared" si="31"/>
        <v>24891.726666666666</v>
      </c>
      <c r="G121" s="114">
        <f t="shared" si="32"/>
        <v>24891.726666666666</v>
      </c>
      <c r="H121" s="114">
        <f t="shared" si="33"/>
        <v>24891.726666666666</v>
      </c>
      <c r="I121" s="114">
        <f t="shared" si="34"/>
        <v>5227262.5999999996</v>
      </c>
      <c r="J121" s="114">
        <f t="shared" si="35"/>
        <v>5227262.5999999996</v>
      </c>
      <c r="K121" s="114">
        <f t="shared" si="39"/>
        <v>5227262.5999999996</v>
      </c>
      <c r="L121" s="115">
        <v>764110</v>
      </c>
      <c r="M121" s="115"/>
      <c r="N121" s="115">
        <v>764110</v>
      </c>
      <c r="O121" s="115">
        <v>764110</v>
      </c>
      <c r="P121" s="116">
        <f t="shared" si="36"/>
        <v>5991372.5999999996</v>
      </c>
      <c r="Q121" s="116">
        <f t="shared" si="38"/>
        <v>0</v>
      </c>
      <c r="R121" s="117">
        <f t="shared" si="19"/>
        <v>5991372.5999999996</v>
      </c>
      <c r="S121" s="117"/>
      <c r="T121" s="117">
        <f t="shared" si="20"/>
        <v>5991372.5999999996</v>
      </c>
      <c r="U121" s="105"/>
      <c r="V121" s="105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9"/>
      <c r="AH121" s="119"/>
      <c r="AI121" s="119"/>
      <c r="AJ121" s="110"/>
      <c r="AK121" s="111"/>
      <c r="AL121" s="111"/>
      <c r="AM121" s="119">
        <f>5987772.6+3600</f>
        <v>5991372.5999999996</v>
      </c>
      <c r="AN121" s="119"/>
      <c r="AO121" s="119">
        <v>5987772.5999999996</v>
      </c>
      <c r="AP121" s="119">
        <v>5987772.5999999996</v>
      </c>
    </row>
    <row r="122" spans="1:42" ht="110.1" customHeight="1" x14ac:dyDescent="0.25">
      <c r="A122" s="203"/>
      <c r="B122" s="204"/>
      <c r="C122" s="174">
        <f t="shared" si="37"/>
        <v>48</v>
      </c>
      <c r="D122" s="89" t="s">
        <v>225</v>
      </c>
      <c r="E122" s="184">
        <v>82</v>
      </c>
      <c r="F122" s="114">
        <f t="shared" si="31"/>
        <v>46510.183902439028</v>
      </c>
      <c r="G122" s="114">
        <f t="shared" si="32"/>
        <v>46510.183902439028</v>
      </c>
      <c r="H122" s="114">
        <f t="shared" si="33"/>
        <v>46510.183902439028</v>
      </c>
      <c r="I122" s="114">
        <f t="shared" si="34"/>
        <v>3813835.08</v>
      </c>
      <c r="J122" s="114">
        <f t="shared" si="35"/>
        <v>3813835.08</v>
      </c>
      <c r="K122" s="114">
        <f t="shared" si="39"/>
        <v>3813835.08</v>
      </c>
      <c r="L122" s="115">
        <v>559940</v>
      </c>
      <c r="M122" s="115"/>
      <c r="N122" s="115">
        <v>559940</v>
      </c>
      <c r="O122" s="115">
        <v>559940</v>
      </c>
      <c r="P122" s="116">
        <f t="shared" si="36"/>
        <v>4373775.08</v>
      </c>
      <c r="Q122" s="116">
        <f t="shared" si="38"/>
        <v>0</v>
      </c>
      <c r="R122" s="117">
        <f t="shared" si="19"/>
        <v>4373775.08</v>
      </c>
      <c r="S122" s="117"/>
      <c r="T122" s="117">
        <f t="shared" si="20"/>
        <v>4373775.08</v>
      </c>
      <c r="U122" s="105"/>
      <c r="V122" s="105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9"/>
      <c r="AH122" s="119"/>
      <c r="AI122" s="119"/>
      <c r="AJ122" s="110"/>
      <c r="AK122" s="111"/>
      <c r="AL122" s="111"/>
      <c r="AM122" s="119">
        <v>4373775.08</v>
      </c>
      <c r="AN122" s="119"/>
      <c r="AO122" s="119">
        <v>4373775.08</v>
      </c>
      <c r="AP122" s="119">
        <v>4373775.08</v>
      </c>
    </row>
    <row r="123" spans="1:42" ht="110.1" customHeight="1" x14ac:dyDescent="0.25">
      <c r="A123" s="203"/>
      <c r="B123" s="204"/>
      <c r="C123" s="174">
        <f t="shared" si="37"/>
        <v>49</v>
      </c>
      <c r="D123" s="89" t="s">
        <v>108</v>
      </c>
      <c r="E123" s="184">
        <v>223</v>
      </c>
      <c r="F123" s="114">
        <f t="shared" si="31"/>
        <v>41881.00192825112</v>
      </c>
      <c r="G123" s="114">
        <f t="shared" si="32"/>
        <v>41881.00192825112</v>
      </c>
      <c r="H123" s="114">
        <f t="shared" si="33"/>
        <v>41881.00192825112</v>
      </c>
      <c r="I123" s="114">
        <f t="shared" si="34"/>
        <v>9339463.4299999997</v>
      </c>
      <c r="J123" s="114">
        <f t="shared" si="35"/>
        <v>9339463.4299999997</v>
      </c>
      <c r="K123" s="114">
        <f t="shared" si="39"/>
        <v>9339463.4299999997</v>
      </c>
      <c r="L123" s="115">
        <v>2683210</v>
      </c>
      <c r="M123" s="115"/>
      <c r="N123" s="115">
        <v>2683210</v>
      </c>
      <c r="O123" s="115">
        <v>2683210</v>
      </c>
      <c r="P123" s="116">
        <f t="shared" si="36"/>
        <v>12022673.43</v>
      </c>
      <c r="Q123" s="116">
        <f t="shared" si="38"/>
        <v>0</v>
      </c>
      <c r="R123" s="117">
        <f t="shared" si="19"/>
        <v>12022673.43</v>
      </c>
      <c r="S123" s="117"/>
      <c r="T123" s="117">
        <f t="shared" si="20"/>
        <v>12022673.43</v>
      </c>
      <c r="U123" s="105"/>
      <c r="V123" s="105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9"/>
      <c r="AH123" s="119"/>
      <c r="AI123" s="119"/>
      <c r="AJ123" s="110"/>
      <c r="AK123" s="111"/>
      <c r="AL123" s="111"/>
      <c r="AM123" s="119">
        <v>12022673.43</v>
      </c>
      <c r="AN123" s="119"/>
      <c r="AO123" s="119">
        <v>12022673.43</v>
      </c>
      <c r="AP123" s="119">
        <v>12022673.43</v>
      </c>
    </row>
    <row r="124" spans="1:42" ht="110.1" customHeight="1" x14ac:dyDescent="0.25">
      <c r="A124" s="203"/>
      <c r="B124" s="204"/>
      <c r="C124" s="174">
        <f t="shared" si="37"/>
        <v>50</v>
      </c>
      <c r="D124" s="89" t="s">
        <v>226</v>
      </c>
      <c r="E124" s="184">
        <v>378</v>
      </c>
      <c r="F124" s="114">
        <f t="shared" si="31"/>
        <v>22064.518941798942</v>
      </c>
      <c r="G124" s="114">
        <f t="shared" si="32"/>
        <v>22064.518941798942</v>
      </c>
      <c r="H124" s="114">
        <f t="shared" si="33"/>
        <v>22064.518941798942</v>
      </c>
      <c r="I124" s="114">
        <f t="shared" si="34"/>
        <v>8340388.1600000001</v>
      </c>
      <c r="J124" s="114">
        <f t="shared" si="35"/>
        <v>8340388.1600000001</v>
      </c>
      <c r="K124" s="114">
        <f t="shared" si="39"/>
        <v>8340388.1600000001</v>
      </c>
      <c r="L124" s="115">
        <v>1059110</v>
      </c>
      <c r="M124" s="115"/>
      <c r="N124" s="115">
        <v>1059110</v>
      </c>
      <c r="O124" s="115">
        <v>1059110</v>
      </c>
      <c r="P124" s="116">
        <f t="shared" si="36"/>
        <v>9399498.1600000001</v>
      </c>
      <c r="Q124" s="116">
        <f t="shared" si="38"/>
        <v>0</v>
      </c>
      <c r="R124" s="117">
        <f t="shared" si="19"/>
        <v>9399498.1600000001</v>
      </c>
      <c r="S124" s="117"/>
      <c r="T124" s="117">
        <f t="shared" si="20"/>
        <v>9399498.1600000001</v>
      </c>
      <c r="U124" s="105"/>
      <c r="V124" s="105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9"/>
      <c r="AH124" s="119"/>
      <c r="AI124" s="119"/>
      <c r="AJ124" s="110"/>
      <c r="AK124" s="111"/>
      <c r="AL124" s="111"/>
      <c r="AM124" s="119">
        <f>9397098.16+2400</f>
        <v>9399498.1600000001</v>
      </c>
      <c r="AN124" s="119"/>
      <c r="AO124" s="119">
        <v>9397098.1600000001</v>
      </c>
      <c r="AP124" s="119">
        <v>9397098.1600000001</v>
      </c>
    </row>
    <row r="125" spans="1:42" ht="110.1" customHeight="1" x14ac:dyDescent="0.25">
      <c r="A125" s="203"/>
      <c r="B125" s="204"/>
      <c r="C125" s="174">
        <f t="shared" si="37"/>
        <v>51</v>
      </c>
      <c r="D125" s="89" t="s">
        <v>227</v>
      </c>
      <c r="E125" s="184">
        <v>227</v>
      </c>
      <c r="F125" s="114">
        <f t="shared" si="31"/>
        <v>24795.333612334805</v>
      </c>
      <c r="G125" s="114">
        <f t="shared" si="32"/>
        <v>24795.333612334805</v>
      </c>
      <c r="H125" s="114">
        <f t="shared" si="33"/>
        <v>24795.333612334805</v>
      </c>
      <c r="I125" s="114">
        <f t="shared" si="34"/>
        <v>5628540.7300000004</v>
      </c>
      <c r="J125" s="114">
        <f t="shared" si="35"/>
        <v>5628540.7300000004</v>
      </c>
      <c r="K125" s="114">
        <f t="shared" si="39"/>
        <v>5628540.7300000004</v>
      </c>
      <c r="L125" s="115">
        <v>1491710</v>
      </c>
      <c r="M125" s="115"/>
      <c r="N125" s="115">
        <v>1491710</v>
      </c>
      <c r="O125" s="115">
        <v>1491710</v>
      </c>
      <c r="P125" s="116">
        <f t="shared" si="36"/>
        <v>7120250.7300000004</v>
      </c>
      <c r="Q125" s="116">
        <f t="shared" si="38"/>
        <v>0</v>
      </c>
      <c r="R125" s="117">
        <f t="shared" si="19"/>
        <v>7120250.7300000004</v>
      </c>
      <c r="S125" s="117"/>
      <c r="T125" s="117">
        <f t="shared" si="20"/>
        <v>7120250.7300000004</v>
      </c>
      <c r="U125" s="105"/>
      <c r="V125" s="105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9"/>
      <c r="AH125" s="119"/>
      <c r="AI125" s="119"/>
      <c r="AJ125" s="110"/>
      <c r="AK125" s="111"/>
      <c r="AL125" s="111"/>
      <c r="AM125" s="119">
        <f>7119050.73+1200</f>
        <v>7120250.7300000004</v>
      </c>
      <c r="AN125" s="119"/>
      <c r="AO125" s="119">
        <v>7119050.7300000004</v>
      </c>
      <c r="AP125" s="119">
        <v>7119050.7300000004</v>
      </c>
    </row>
    <row r="126" spans="1:42" ht="110.1" customHeight="1" x14ac:dyDescent="0.25">
      <c r="A126" s="203"/>
      <c r="B126" s="204"/>
      <c r="C126" s="174">
        <f t="shared" si="37"/>
        <v>52</v>
      </c>
      <c r="D126" s="89" t="s">
        <v>111</v>
      </c>
      <c r="E126" s="184">
        <v>107</v>
      </c>
      <c r="F126" s="114">
        <f t="shared" si="31"/>
        <v>38098.238785046728</v>
      </c>
      <c r="G126" s="114">
        <f t="shared" si="32"/>
        <v>38098.238785046728</v>
      </c>
      <c r="H126" s="114">
        <f t="shared" si="33"/>
        <v>38098.238785046728</v>
      </c>
      <c r="I126" s="114">
        <f t="shared" si="34"/>
        <v>4076511.55</v>
      </c>
      <c r="J126" s="114">
        <f t="shared" si="35"/>
        <v>4076511.55</v>
      </c>
      <c r="K126" s="114">
        <f t="shared" si="39"/>
        <v>4076511.55</v>
      </c>
      <c r="L126" s="115">
        <v>1140730</v>
      </c>
      <c r="M126" s="115"/>
      <c r="N126" s="115">
        <v>1140730</v>
      </c>
      <c r="O126" s="115">
        <v>1140730</v>
      </c>
      <c r="P126" s="116">
        <f t="shared" si="36"/>
        <v>5217241.55</v>
      </c>
      <c r="Q126" s="116">
        <f t="shared" si="38"/>
        <v>0</v>
      </c>
      <c r="R126" s="117">
        <f t="shared" si="19"/>
        <v>5217241.55</v>
      </c>
      <c r="S126" s="117"/>
      <c r="T126" s="117">
        <f t="shared" si="20"/>
        <v>5217241.55</v>
      </c>
      <c r="U126" s="105"/>
      <c r="V126" s="105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9"/>
      <c r="AH126" s="119"/>
      <c r="AI126" s="119"/>
      <c r="AJ126" s="110"/>
      <c r="AK126" s="111"/>
      <c r="AL126" s="111"/>
      <c r="AM126" s="119">
        <f>5216041.55+1200</f>
        <v>5217241.55</v>
      </c>
      <c r="AN126" s="119"/>
      <c r="AO126" s="119">
        <v>5216041.55</v>
      </c>
      <c r="AP126" s="119">
        <v>5216041.55</v>
      </c>
    </row>
    <row r="127" spans="1:42" ht="110.1" customHeight="1" x14ac:dyDescent="0.25">
      <c r="A127" s="203"/>
      <c r="B127" s="204"/>
      <c r="C127" s="174">
        <f t="shared" si="37"/>
        <v>53</v>
      </c>
      <c r="D127" s="89" t="s">
        <v>112</v>
      </c>
      <c r="E127" s="184">
        <v>108</v>
      </c>
      <c r="F127" s="114">
        <f t="shared" si="31"/>
        <v>46787.246018518519</v>
      </c>
      <c r="G127" s="114">
        <f t="shared" si="32"/>
        <v>46787.246018518519</v>
      </c>
      <c r="H127" s="114">
        <f t="shared" si="33"/>
        <v>46787.246018518519</v>
      </c>
      <c r="I127" s="114">
        <f t="shared" si="34"/>
        <v>5053022.57</v>
      </c>
      <c r="J127" s="114">
        <f t="shared" si="35"/>
        <v>5053022.57</v>
      </c>
      <c r="K127" s="114">
        <f t="shared" si="39"/>
        <v>5053022.57</v>
      </c>
      <c r="L127" s="115">
        <v>654970</v>
      </c>
      <c r="M127" s="115"/>
      <c r="N127" s="115">
        <v>654970</v>
      </c>
      <c r="O127" s="115">
        <v>654970</v>
      </c>
      <c r="P127" s="116">
        <f t="shared" si="36"/>
        <v>5707992.5700000003</v>
      </c>
      <c r="Q127" s="116">
        <f t="shared" si="38"/>
        <v>0</v>
      </c>
      <c r="R127" s="117">
        <f t="shared" si="19"/>
        <v>5707992.5700000003</v>
      </c>
      <c r="S127" s="117"/>
      <c r="T127" s="117">
        <f t="shared" si="20"/>
        <v>5707992.5700000003</v>
      </c>
      <c r="U127" s="105"/>
      <c r="V127" s="105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9"/>
      <c r="AH127" s="119"/>
      <c r="AI127" s="119"/>
      <c r="AJ127" s="110"/>
      <c r="AK127" s="111"/>
      <c r="AL127" s="111"/>
      <c r="AM127" s="119">
        <v>5707992.5700000003</v>
      </c>
      <c r="AN127" s="119"/>
      <c r="AO127" s="119">
        <v>5707992.5700000003</v>
      </c>
      <c r="AP127" s="119">
        <v>5707992.5700000003</v>
      </c>
    </row>
    <row r="128" spans="1:42" ht="110.1" customHeight="1" x14ac:dyDescent="0.25">
      <c r="A128" s="203"/>
      <c r="B128" s="204"/>
      <c r="C128" s="174">
        <f t="shared" si="37"/>
        <v>54</v>
      </c>
      <c r="D128" s="89" t="s">
        <v>228</v>
      </c>
      <c r="E128" s="184">
        <v>145</v>
      </c>
      <c r="F128" s="114">
        <f t="shared" si="31"/>
        <v>36407.171379310341</v>
      </c>
      <c r="G128" s="114">
        <f t="shared" si="32"/>
        <v>36407.171379310341</v>
      </c>
      <c r="H128" s="114">
        <f t="shared" si="33"/>
        <v>36407.171379310341</v>
      </c>
      <c r="I128" s="114">
        <f t="shared" si="34"/>
        <v>5279039.8499999996</v>
      </c>
      <c r="J128" s="114">
        <f t="shared" si="35"/>
        <v>5279039.8499999996</v>
      </c>
      <c r="K128" s="114">
        <f t="shared" si="39"/>
        <v>5279039.8499999996</v>
      </c>
      <c r="L128" s="115">
        <v>598910</v>
      </c>
      <c r="M128" s="115"/>
      <c r="N128" s="115">
        <v>598910</v>
      </c>
      <c r="O128" s="115">
        <v>598910</v>
      </c>
      <c r="P128" s="116">
        <f t="shared" si="36"/>
        <v>5877949.8499999996</v>
      </c>
      <c r="Q128" s="116">
        <f t="shared" si="38"/>
        <v>0</v>
      </c>
      <c r="R128" s="117">
        <f t="shared" si="19"/>
        <v>5877949.8499999996</v>
      </c>
      <c r="S128" s="117"/>
      <c r="T128" s="117">
        <f t="shared" si="20"/>
        <v>5877949.8499999996</v>
      </c>
      <c r="U128" s="105"/>
      <c r="V128" s="105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9"/>
      <c r="AH128" s="119"/>
      <c r="AI128" s="119"/>
      <c r="AJ128" s="110"/>
      <c r="AK128" s="111"/>
      <c r="AL128" s="111"/>
      <c r="AM128" s="119">
        <f>5874949.85+3000</f>
        <v>5877949.8499999996</v>
      </c>
      <c r="AN128" s="119"/>
      <c r="AO128" s="119">
        <v>5874949.8499999996</v>
      </c>
      <c r="AP128" s="119">
        <v>5874949.8499999996</v>
      </c>
    </row>
    <row r="129" spans="1:42" ht="110.1" customHeight="1" x14ac:dyDescent="0.25">
      <c r="A129" s="203"/>
      <c r="B129" s="204"/>
      <c r="C129" s="174">
        <f t="shared" si="37"/>
        <v>55</v>
      </c>
      <c r="D129" s="89" t="s">
        <v>229</v>
      </c>
      <c r="E129" s="184">
        <v>350</v>
      </c>
      <c r="F129" s="114">
        <f t="shared" si="31"/>
        <v>34336.020085714285</v>
      </c>
      <c r="G129" s="114">
        <f t="shared" si="32"/>
        <v>34336.020085714285</v>
      </c>
      <c r="H129" s="114">
        <f t="shared" si="33"/>
        <v>34336.020085714285</v>
      </c>
      <c r="I129" s="114">
        <f t="shared" si="34"/>
        <v>12017607.029999999</v>
      </c>
      <c r="J129" s="114">
        <f t="shared" si="35"/>
        <v>12017607.029999999</v>
      </c>
      <c r="K129" s="114">
        <f t="shared" si="39"/>
        <v>12017607.029999999</v>
      </c>
      <c r="L129" s="115">
        <v>2048910</v>
      </c>
      <c r="M129" s="115"/>
      <c r="N129" s="115">
        <v>2048910</v>
      </c>
      <c r="O129" s="115">
        <v>2048910</v>
      </c>
      <c r="P129" s="116">
        <f t="shared" si="36"/>
        <v>14066517.029999999</v>
      </c>
      <c r="Q129" s="116">
        <f t="shared" si="38"/>
        <v>0</v>
      </c>
      <c r="R129" s="117">
        <f t="shared" si="19"/>
        <v>14066517.029999999</v>
      </c>
      <c r="S129" s="117"/>
      <c r="T129" s="117">
        <f t="shared" si="20"/>
        <v>14066517.029999999</v>
      </c>
      <c r="U129" s="105"/>
      <c r="V129" s="105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9"/>
      <c r="AH129" s="119"/>
      <c r="AI129" s="119"/>
      <c r="AJ129" s="110"/>
      <c r="AK129" s="111"/>
      <c r="AL129" s="111"/>
      <c r="AM129" s="119">
        <f>14063517.03+3000</f>
        <v>14066517.029999999</v>
      </c>
      <c r="AN129" s="119"/>
      <c r="AO129" s="119">
        <v>14063517.029999999</v>
      </c>
      <c r="AP129" s="119">
        <v>14063517.029999999</v>
      </c>
    </row>
    <row r="130" spans="1:42" ht="110.1" customHeight="1" x14ac:dyDescent="0.25">
      <c r="A130" s="203"/>
      <c r="B130" s="204"/>
      <c r="C130" s="174">
        <f t="shared" si="37"/>
        <v>56</v>
      </c>
      <c r="D130" s="89" t="s">
        <v>114</v>
      </c>
      <c r="E130" s="184">
        <v>106</v>
      </c>
      <c r="F130" s="114">
        <f t="shared" si="31"/>
        <v>46659.280283018867</v>
      </c>
      <c r="G130" s="114">
        <f t="shared" si="32"/>
        <v>46659.280283018867</v>
      </c>
      <c r="H130" s="114">
        <f t="shared" si="33"/>
        <v>46659.280283018867</v>
      </c>
      <c r="I130" s="114">
        <f t="shared" si="34"/>
        <v>4945883.71</v>
      </c>
      <c r="J130" s="114">
        <f t="shared" si="35"/>
        <v>4945883.71</v>
      </c>
      <c r="K130" s="114">
        <f t="shared" si="39"/>
        <v>4945883.71</v>
      </c>
      <c r="L130" s="115">
        <v>870450</v>
      </c>
      <c r="M130" s="115"/>
      <c r="N130" s="115">
        <v>870450</v>
      </c>
      <c r="O130" s="115">
        <v>870450</v>
      </c>
      <c r="P130" s="116">
        <f t="shared" si="36"/>
        <v>5816333.71</v>
      </c>
      <c r="Q130" s="116">
        <f t="shared" si="38"/>
        <v>0</v>
      </c>
      <c r="R130" s="117">
        <f t="shared" si="19"/>
        <v>5816333.71</v>
      </c>
      <c r="S130" s="117"/>
      <c r="T130" s="117">
        <f t="shared" si="20"/>
        <v>5816333.71</v>
      </c>
      <c r="U130" s="105"/>
      <c r="V130" s="105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9"/>
      <c r="AH130" s="119"/>
      <c r="AI130" s="119"/>
      <c r="AJ130" s="110"/>
      <c r="AK130" s="111"/>
      <c r="AL130" s="111"/>
      <c r="AM130" s="119">
        <f>5815729.71+604</f>
        <v>5816333.71</v>
      </c>
      <c r="AN130" s="119"/>
      <c r="AO130" s="119">
        <v>5815729.71</v>
      </c>
      <c r="AP130" s="119">
        <v>5815729.71</v>
      </c>
    </row>
    <row r="131" spans="1:42" ht="110.1" customHeight="1" x14ac:dyDescent="0.25">
      <c r="A131" s="203"/>
      <c r="B131" s="204"/>
      <c r="C131" s="174">
        <f t="shared" si="37"/>
        <v>57</v>
      </c>
      <c r="D131" s="89" t="s">
        <v>115</v>
      </c>
      <c r="E131" s="184">
        <v>65</v>
      </c>
      <c r="F131" s="114">
        <f t="shared" si="31"/>
        <v>55116.1323076923</v>
      </c>
      <c r="G131" s="114">
        <f t="shared" si="32"/>
        <v>55116.1323076923</v>
      </c>
      <c r="H131" s="114">
        <f t="shared" si="33"/>
        <v>55116.1323076923</v>
      </c>
      <c r="I131" s="114">
        <f t="shared" si="34"/>
        <v>3582548.5999999996</v>
      </c>
      <c r="J131" s="114">
        <f t="shared" si="35"/>
        <v>3582548.5999999996</v>
      </c>
      <c r="K131" s="114">
        <f t="shared" si="39"/>
        <v>3582548.5999999996</v>
      </c>
      <c r="L131" s="115">
        <v>859870</v>
      </c>
      <c r="M131" s="115"/>
      <c r="N131" s="115">
        <v>859870</v>
      </c>
      <c r="O131" s="115">
        <v>859870</v>
      </c>
      <c r="P131" s="116">
        <f t="shared" si="36"/>
        <v>4442418.5999999996</v>
      </c>
      <c r="Q131" s="116">
        <f t="shared" si="38"/>
        <v>0</v>
      </c>
      <c r="R131" s="117">
        <f t="shared" si="19"/>
        <v>4442418.5999999996</v>
      </c>
      <c r="S131" s="117"/>
      <c r="T131" s="117">
        <f t="shared" si="20"/>
        <v>4442418.5999999996</v>
      </c>
      <c r="U131" s="105"/>
      <c r="V131" s="105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9"/>
      <c r="AH131" s="119"/>
      <c r="AI131" s="119"/>
      <c r="AJ131" s="110"/>
      <c r="AK131" s="111"/>
      <c r="AL131" s="111"/>
      <c r="AM131" s="119">
        <f>4441818.6+600</f>
        <v>4442418.5999999996</v>
      </c>
      <c r="AN131" s="119"/>
      <c r="AO131" s="119">
        <v>4441818.5999999996</v>
      </c>
      <c r="AP131" s="119">
        <v>4441818.5999999996</v>
      </c>
    </row>
    <row r="132" spans="1:42" ht="110.1" customHeight="1" x14ac:dyDescent="0.25">
      <c r="A132" s="203"/>
      <c r="B132" s="204"/>
      <c r="C132" s="174">
        <f t="shared" si="37"/>
        <v>58</v>
      </c>
      <c r="D132" s="89" t="s">
        <v>116</v>
      </c>
      <c r="E132" s="184">
        <v>320</v>
      </c>
      <c r="F132" s="114">
        <f t="shared" si="31"/>
        <v>24821.45175</v>
      </c>
      <c r="G132" s="114">
        <f t="shared" si="32"/>
        <v>24821.45175</v>
      </c>
      <c r="H132" s="114">
        <f t="shared" si="33"/>
        <v>24821.45175</v>
      </c>
      <c r="I132" s="114">
        <f t="shared" si="34"/>
        <v>7942864.5600000005</v>
      </c>
      <c r="J132" s="114">
        <f t="shared" si="35"/>
        <v>7942864.5600000005</v>
      </c>
      <c r="K132" s="114">
        <f t="shared" si="39"/>
        <v>7942864.5600000005</v>
      </c>
      <c r="L132" s="115">
        <v>1059310</v>
      </c>
      <c r="M132" s="115"/>
      <c r="N132" s="115">
        <v>1059310</v>
      </c>
      <c r="O132" s="115">
        <v>1059310</v>
      </c>
      <c r="P132" s="116">
        <f t="shared" si="36"/>
        <v>9002174.5600000005</v>
      </c>
      <c r="Q132" s="116">
        <f t="shared" si="38"/>
        <v>0</v>
      </c>
      <c r="R132" s="117">
        <f t="shared" si="19"/>
        <v>9002174.5600000005</v>
      </c>
      <c r="S132" s="117"/>
      <c r="T132" s="117">
        <f t="shared" si="20"/>
        <v>9002174.5600000005</v>
      </c>
      <c r="U132" s="105"/>
      <c r="V132" s="105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9"/>
      <c r="AH132" s="119"/>
      <c r="AI132" s="119"/>
      <c r="AJ132" s="110"/>
      <c r="AK132" s="111"/>
      <c r="AL132" s="111"/>
      <c r="AM132" s="119">
        <v>9002174.5600000005</v>
      </c>
      <c r="AN132" s="119"/>
      <c r="AO132" s="119">
        <v>9002174.5600000005</v>
      </c>
      <c r="AP132" s="119">
        <v>9002174.5600000005</v>
      </c>
    </row>
    <row r="133" spans="1:42" ht="110.1" customHeight="1" x14ac:dyDescent="0.25">
      <c r="A133" s="203"/>
      <c r="B133" s="204"/>
      <c r="C133" s="174">
        <f t="shared" si="37"/>
        <v>59</v>
      </c>
      <c r="D133" s="89" t="s">
        <v>117</v>
      </c>
      <c r="E133" s="184">
        <v>164</v>
      </c>
      <c r="F133" s="114">
        <f t="shared" si="31"/>
        <v>37526.825731707315</v>
      </c>
      <c r="G133" s="114">
        <f t="shared" si="32"/>
        <v>37526.825731707315</v>
      </c>
      <c r="H133" s="114">
        <f t="shared" si="33"/>
        <v>37526.825731707315</v>
      </c>
      <c r="I133" s="114">
        <f t="shared" si="34"/>
        <v>6154399.4199999999</v>
      </c>
      <c r="J133" s="114">
        <f t="shared" si="35"/>
        <v>6154399.4199999999</v>
      </c>
      <c r="K133" s="114">
        <f t="shared" si="39"/>
        <v>6154399.4199999999</v>
      </c>
      <c r="L133" s="115">
        <v>711500</v>
      </c>
      <c r="M133" s="115"/>
      <c r="N133" s="115">
        <v>711500</v>
      </c>
      <c r="O133" s="115">
        <v>711500</v>
      </c>
      <c r="P133" s="116">
        <f t="shared" si="36"/>
        <v>6865899.4199999999</v>
      </c>
      <c r="Q133" s="116">
        <f t="shared" si="38"/>
        <v>0</v>
      </c>
      <c r="R133" s="117">
        <f t="shared" si="19"/>
        <v>6865899.4199999999</v>
      </c>
      <c r="S133" s="117"/>
      <c r="T133" s="117">
        <f t="shared" si="20"/>
        <v>6865899.4199999999</v>
      </c>
      <c r="U133" s="105"/>
      <c r="V133" s="105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9"/>
      <c r="AH133" s="119"/>
      <c r="AI133" s="119"/>
      <c r="AJ133" s="110"/>
      <c r="AK133" s="111"/>
      <c r="AL133" s="111"/>
      <c r="AM133" s="119">
        <v>6865899.4199999999</v>
      </c>
      <c r="AN133" s="119"/>
      <c r="AO133" s="119">
        <v>6865899.4199999999</v>
      </c>
      <c r="AP133" s="119">
        <v>6865899.4199999999</v>
      </c>
    </row>
    <row r="134" spans="1:42" ht="110.1" customHeight="1" x14ac:dyDescent="0.25">
      <c r="A134" s="203"/>
      <c r="B134" s="204"/>
      <c r="C134" s="174">
        <f t="shared" si="37"/>
        <v>60</v>
      </c>
      <c r="D134" s="89" t="s">
        <v>118</v>
      </c>
      <c r="E134" s="184">
        <v>145</v>
      </c>
      <c r="F134" s="114">
        <f t="shared" si="31"/>
        <v>32983.146275862069</v>
      </c>
      <c r="G134" s="114">
        <f t="shared" si="32"/>
        <v>32983.146275862069</v>
      </c>
      <c r="H134" s="114">
        <f t="shared" si="33"/>
        <v>32983.146275862069</v>
      </c>
      <c r="I134" s="114">
        <f t="shared" si="34"/>
        <v>4782556.21</v>
      </c>
      <c r="J134" s="114">
        <f t="shared" si="35"/>
        <v>4782556.21</v>
      </c>
      <c r="K134" s="114">
        <f t="shared" si="39"/>
        <v>4782556.21</v>
      </c>
      <c r="L134" s="115">
        <v>740780</v>
      </c>
      <c r="M134" s="115"/>
      <c r="N134" s="115">
        <v>740780</v>
      </c>
      <c r="O134" s="115">
        <v>740780</v>
      </c>
      <c r="P134" s="116">
        <f t="shared" si="36"/>
        <v>5523336.21</v>
      </c>
      <c r="Q134" s="116">
        <f t="shared" si="38"/>
        <v>0</v>
      </c>
      <c r="R134" s="117">
        <f t="shared" si="19"/>
        <v>5523336.21</v>
      </c>
      <c r="S134" s="117"/>
      <c r="T134" s="117">
        <f t="shared" si="20"/>
        <v>5523336.21</v>
      </c>
      <c r="U134" s="105"/>
      <c r="V134" s="105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9"/>
      <c r="AH134" s="119"/>
      <c r="AI134" s="119"/>
      <c r="AJ134" s="110"/>
      <c r="AK134" s="111"/>
      <c r="AL134" s="111"/>
      <c r="AM134" s="119">
        <f>5522736.21+600</f>
        <v>5523336.21</v>
      </c>
      <c r="AN134" s="119"/>
      <c r="AO134" s="119">
        <v>5522736.21</v>
      </c>
      <c r="AP134" s="119">
        <v>5522736.21</v>
      </c>
    </row>
    <row r="135" spans="1:42" ht="110.1" customHeight="1" x14ac:dyDescent="0.25">
      <c r="A135" s="203"/>
      <c r="B135" s="204"/>
      <c r="C135" s="174">
        <f t="shared" si="37"/>
        <v>61</v>
      </c>
      <c r="D135" s="89" t="s">
        <v>119</v>
      </c>
      <c r="E135" s="184">
        <v>167</v>
      </c>
      <c r="F135" s="114">
        <f t="shared" si="31"/>
        <v>35221.789580838325</v>
      </c>
      <c r="G135" s="114">
        <f t="shared" si="32"/>
        <v>35221.789580838325</v>
      </c>
      <c r="H135" s="114">
        <f t="shared" si="33"/>
        <v>35221.789580838325</v>
      </c>
      <c r="I135" s="114">
        <f t="shared" si="34"/>
        <v>5882038.8600000003</v>
      </c>
      <c r="J135" s="114">
        <f t="shared" si="35"/>
        <v>5882038.8600000003</v>
      </c>
      <c r="K135" s="114">
        <f t="shared" si="39"/>
        <v>5882038.8600000003</v>
      </c>
      <c r="L135" s="115">
        <v>974730</v>
      </c>
      <c r="M135" s="115"/>
      <c r="N135" s="115">
        <v>974730</v>
      </c>
      <c r="O135" s="115">
        <v>974730</v>
      </c>
      <c r="P135" s="116">
        <f t="shared" si="36"/>
        <v>6856768.8600000003</v>
      </c>
      <c r="Q135" s="116">
        <f t="shared" si="38"/>
        <v>0</v>
      </c>
      <c r="R135" s="117">
        <f t="shared" ref="R135:R198" si="40">P135</f>
        <v>6856768.8600000003</v>
      </c>
      <c r="S135" s="117"/>
      <c r="T135" s="117">
        <f t="shared" ref="T135:T198" si="41">P135</f>
        <v>6856768.8600000003</v>
      </c>
      <c r="U135" s="105"/>
      <c r="V135" s="105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9"/>
      <c r="AH135" s="119"/>
      <c r="AI135" s="119"/>
      <c r="AJ135" s="110"/>
      <c r="AK135" s="111"/>
      <c r="AL135" s="111"/>
      <c r="AM135" s="119">
        <v>6856768.8600000003</v>
      </c>
      <c r="AN135" s="119"/>
      <c r="AO135" s="119">
        <v>6856768.8600000003</v>
      </c>
      <c r="AP135" s="119">
        <v>6856768.8600000003</v>
      </c>
    </row>
    <row r="136" spans="1:42" ht="110.1" customHeight="1" x14ac:dyDescent="0.25">
      <c r="A136" s="203"/>
      <c r="B136" s="204"/>
      <c r="C136" s="174">
        <f t="shared" si="37"/>
        <v>62</v>
      </c>
      <c r="D136" s="89" t="s">
        <v>230</v>
      </c>
      <c r="E136" s="184">
        <v>420</v>
      </c>
      <c r="F136" s="114">
        <f t="shared" si="31"/>
        <v>25461.626404761904</v>
      </c>
      <c r="G136" s="114">
        <f t="shared" si="32"/>
        <v>25461.626404761904</v>
      </c>
      <c r="H136" s="114">
        <f t="shared" si="33"/>
        <v>25461.626404761904</v>
      </c>
      <c r="I136" s="114">
        <f t="shared" si="34"/>
        <v>10693883.09</v>
      </c>
      <c r="J136" s="114">
        <f t="shared" si="35"/>
        <v>10693883.09</v>
      </c>
      <c r="K136" s="114">
        <f t="shared" si="39"/>
        <v>10693883.09</v>
      </c>
      <c r="L136" s="115">
        <v>3472100</v>
      </c>
      <c r="M136" s="115"/>
      <c r="N136" s="115">
        <v>3472100</v>
      </c>
      <c r="O136" s="115">
        <v>3472100</v>
      </c>
      <c r="P136" s="116">
        <f t="shared" si="36"/>
        <v>14165983.09</v>
      </c>
      <c r="Q136" s="116">
        <f t="shared" si="38"/>
        <v>0</v>
      </c>
      <c r="R136" s="117">
        <f t="shared" si="40"/>
        <v>14165983.09</v>
      </c>
      <c r="S136" s="117"/>
      <c r="T136" s="117">
        <f t="shared" si="41"/>
        <v>14165983.09</v>
      </c>
      <c r="U136" s="105"/>
      <c r="V136" s="105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9"/>
      <c r="AH136" s="119"/>
      <c r="AI136" s="119"/>
      <c r="AJ136" s="110"/>
      <c r="AK136" s="111"/>
      <c r="AL136" s="111"/>
      <c r="AM136" s="135">
        <f>14162983.09+3000</f>
        <v>14165983.09</v>
      </c>
      <c r="AN136" s="119"/>
      <c r="AO136" s="135">
        <f>14162983.09+4467957.01</f>
        <v>18630940.100000001</v>
      </c>
      <c r="AP136" s="135">
        <f>14162983.09+4467957.01</f>
        <v>18630940.100000001</v>
      </c>
    </row>
    <row r="137" spans="1:42" ht="110.1" customHeight="1" x14ac:dyDescent="0.25">
      <c r="A137" s="203"/>
      <c r="B137" s="204"/>
      <c r="C137" s="174">
        <f t="shared" si="37"/>
        <v>63</v>
      </c>
      <c r="D137" s="89" t="s">
        <v>121</v>
      </c>
      <c r="E137" s="184">
        <v>173</v>
      </c>
      <c r="F137" s="114">
        <f t="shared" si="31"/>
        <v>32474.920462427748</v>
      </c>
      <c r="G137" s="114">
        <f t="shared" si="32"/>
        <v>32474.920462427748</v>
      </c>
      <c r="H137" s="114">
        <f t="shared" si="33"/>
        <v>32474.920462427748</v>
      </c>
      <c r="I137" s="114">
        <f t="shared" si="34"/>
        <v>5618161.2400000002</v>
      </c>
      <c r="J137" s="114">
        <f t="shared" si="35"/>
        <v>5618161.2400000002</v>
      </c>
      <c r="K137" s="114">
        <f t="shared" si="39"/>
        <v>5618161.2400000002</v>
      </c>
      <c r="L137" s="115">
        <v>733390</v>
      </c>
      <c r="M137" s="115"/>
      <c r="N137" s="115">
        <v>733390</v>
      </c>
      <c r="O137" s="115">
        <v>733390</v>
      </c>
      <c r="P137" s="116">
        <f t="shared" si="36"/>
        <v>6351551.2400000002</v>
      </c>
      <c r="Q137" s="116">
        <f t="shared" si="38"/>
        <v>0</v>
      </c>
      <c r="R137" s="117">
        <f t="shared" si="40"/>
        <v>6351551.2400000002</v>
      </c>
      <c r="S137" s="117"/>
      <c r="T137" s="117">
        <f t="shared" si="41"/>
        <v>6351551.2400000002</v>
      </c>
      <c r="U137" s="105"/>
      <c r="V137" s="105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9"/>
      <c r="AH137" s="119"/>
      <c r="AI137" s="119"/>
      <c r="AJ137" s="110"/>
      <c r="AK137" s="111"/>
      <c r="AL137" s="111"/>
      <c r="AM137" s="119">
        <f>6350951.24+600</f>
        <v>6351551.2400000002</v>
      </c>
      <c r="AN137" s="119"/>
      <c r="AO137" s="119">
        <v>6350951.2400000002</v>
      </c>
      <c r="AP137" s="119">
        <v>6350951.2400000002</v>
      </c>
    </row>
    <row r="138" spans="1:42" ht="110.1" customHeight="1" x14ac:dyDescent="0.25">
      <c r="A138" s="203"/>
      <c r="B138" s="204"/>
      <c r="C138" s="174">
        <f t="shared" si="37"/>
        <v>64</v>
      </c>
      <c r="D138" s="89" t="s">
        <v>231</v>
      </c>
      <c r="E138" s="184">
        <v>306</v>
      </c>
      <c r="F138" s="114">
        <f t="shared" si="31"/>
        <v>30227.66241830065</v>
      </c>
      <c r="G138" s="114">
        <f t="shared" si="32"/>
        <v>30227.66241830065</v>
      </c>
      <c r="H138" s="114">
        <f t="shared" si="33"/>
        <v>30227.66241830065</v>
      </c>
      <c r="I138" s="114">
        <f t="shared" si="34"/>
        <v>9249664.6999999993</v>
      </c>
      <c r="J138" s="114">
        <f t="shared" si="35"/>
        <v>9249664.6999999993</v>
      </c>
      <c r="K138" s="114">
        <f t="shared" si="39"/>
        <v>9249664.6999999993</v>
      </c>
      <c r="L138" s="115">
        <v>1501900</v>
      </c>
      <c r="M138" s="115"/>
      <c r="N138" s="115">
        <v>1501900</v>
      </c>
      <c r="O138" s="115">
        <v>1501900</v>
      </c>
      <c r="P138" s="116">
        <f t="shared" si="36"/>
        <v>10751564.699999999</v>
      </c>
      <c r="Q138" s="116">
        <f t="shared" si="38"/>
        <v>0</v>
      </c>
      <c r="R138" s="117">
        <f t="shared" si="40"/>
        <v>10751564.699999999</v>
      </c>
      <c r="S138" s="117"/>
      <c r="T138" s="117">
        <f t="shared" si="41"/>
        <v>10751564.699999999</v>
      </c>
      <c r="U138" s="105"/>
      <c r="V138" s="105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9"/>
      <c r="AH138" s="119"/>
      <c r="AI138" s="119"/>
      <c r="AJ138" s="110"/>
      <c r="AK138" s="111"/>
      <c r="AL138" s="111"/>
      <c r="AM138" s="119">
        <f>10750964.7+600</f>
        <v>10751564.699999999</v>
      </c>
      <c r="AN138" s="119"/>
      <c r="AO138" s="119">
        <v>10750964.699999999</v>
      </c>
      <c r="AP138" s="119">
        <v>10750964.699999999</v>
      </c>
    </row>
    <row r="139" spans="1:42" ht="110.1" customHeight="1" x14ac:dyDescent="0.25">
      <c r="A139" s="203"/>
      <c r="B139" s="204"/>
      <c r="C139" s="174">
        <f t="shared" si="37"/>
        <v>65</v>
      </c>
      <c r="D139" s="89" t="s">
        <v>16</v>
      </c>
      <c r="E139" s="184">
        <v>360</v>
      </c>
      <c r="F139" s="114">
        <f t="shared" si="31"/>
        <v>28930.92833333333</v>
      </c>
      <c r="G139" s="114">
        <f t="shared" si="32"/>
        <v>28930.92833333333</v>
      </c>
      <c r="H139" s="114">
        <f t="shared" si="33"/>
        <v>28930.92833333333</v>
      </c>
      <c r="I139" s="114">
        <f t="shared" si="34"/>
        <v>10415134.199999999</v>
      </c>
      <c r="J139" s="114">
        <f t="shared" si="35"/>
        <v>10415134.199999999</v>
      </c>
      <c r="K139" s="114">
        <f t="shared" si="39"/>
        <v>10415134.199999999</v>
      </c>
      <c r="L139" s="115">
        <v>1678420</v>
      </c>
      <c r="M139" s="115"/>
      <c r="N139" s="115">
        <v>1678420</v>
      </c>
      <c r="O139" s="115">
        <v>1678420</v>
      </c>
      <c r="P139" s="116">
        <f t="shared" si="36"/>
        <v>12093554.199999999</v>
      </c>
      <c r="Q139" s="116">
        <f t="shared" si="38"/>
        <v>0</v>
      </c>
      <c r="R139" s="117">
        <f t="shared" si="40"/>
        <v>12093554.199999999</v>
      </c>
      <c r="S139" s="117"/>
      <c r="T139" s="117">
        <f t="shared" si="41"/>
        <v>12093554.199999999</v>
      </c>
      <c r="U139" s="105"/>
      <c r="V139" s="105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9"/>
      <c r="AH139" s="119"/>
      <c r="AI139" s="119"/>
      <c r="AJ139" s="110"/>
      <c r="AK139" s="111"/>
      <c r="AL139" s="111"/>
      <c r="AM139" s="119">
        <v>12093554.199999999</v>
      </c>
      <c r="AN139" s="119"/>
      <c r="AO139" s="119">
        <v>12093554.199999999</v>
      </c>
      <c r="AP139" s="119">
        <v>12093554.199999999</v>
      </c>
    </row>
    <row r="140" spans="1:42" ht="110.1" customHeight="1" x14ac:dyDescent="0.25">
      <c r="A140" s="203"/>
      <c r="B140" s="204"/>
      <c r="C140" s="174">
        <f t="shared" si="37"/>
        <v>66</v>
      </c>
      <c r="D140" s="89" t="s">
        <v>123</v>
      </c>
      <c r="E140" s="184">
        <v>408</v>
      </c>
      <c r="F140" s="114">
        <f t="shared" ref="F140:F142" si="42">I140/E140</f>
        <v>26954.29225490196</v>
      </c>
      <c r="G140" s="114">
        <f t="shared" ref="G140:G142" si="43">J140/E140</f>
        <v>26954.29225490196</v>
      </c>
      <c r="H140" s="114">
        <f t="shared" ref="H140:H142" si="44">K140/E140</f>
        <v>26954.29225490196</v>
      </c>
      <c r="I140" s="114">
        <f t="shared" ref="I140:I142" si="45">P140-L140</f>
        <v>10997351.24</v>
      </c>
      <c r="J140" s="114">
        <f t="shared" ref="J140:J142" si="46">R140-N140</f>
        <v>10997351.24</v>
      </c>
      <c r="K140" s="114">
        <f t="shared" si="39"/>
        <v>10997351.24</v>
      </c>
      <c r="L140" s="115">
        <v>1921220</v>
      </c>
      <c r="M140" s="115"/>
      <c r="N140" s="115">
        <v>1921220</v>
      </c>
      <c r="O140" s="115">
        <v>1921220</v>
      </c>
      <c r="P140" s="116">
        <f t="shared" ref="P140:P142" si="47">AM140</f>
        <v>12918571.24</v>
      </c>
      <c r="Q140" s="116">
        <f t="shared" si="38"/>
        <v>0</v>
      </c>
      <c r="R140" s="117">
        <f t="shared" si="40"/>
        <v>12918571.24</v>
      </c>
      <c r="S140" s="117"/>
      <c r="T140" s="117">
        <f t="shared" si="41"/>
        <v>12918571.24</v>
      </c>
      <c r="U140" s="105"/>
      <c r="V140" s="105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9"/>
      <c r="AH140" s="119"/>
      <c r="AI140" s="119"/>
      <c r="AJ140" s="110"/>
      <c r="AK140" s="111"/>
      <c r="AL140" s="111"/>
      <c r="AM140" s="119">
        <f>12917371.24+1200</f>
        <v>12918571.24</v>
      </c>
      <c r="AN140" s="119"/>
      <c r="AO140" s="119">
        <v>12917371.24</v>
      </c>
      <c r="AP140" s="119">
        <v>12917371.24</v>
      </c>
    </row>
    <row r="141" spans="1:42" ht="110.1" customHeight="1" x14ac:dyDescent="0.25">
      <c r="A141" s="203"/>
      <c r="B141" s="204"/>
      <c r="C141" s="174">
        <f t="shared" ref="C141:C142" si="48">C140+1</f>
        <v>67</v>
      </c>
      <c r="D141" s="89" t="s">
        <v>232</v>
      </c>
      <c r="E141" s="184">
        <v>56</v>
      </c>
      <c r="F141" s="114">
        <f t="shared" si="42"/>
        <v>60445.766785714288</v>
      </c>
      <c r="G141" s="114">
        <f t="shared" si="43"/>
        <v>60445.766785714288</v>
      </c>
      <c r="H141" s="114">
        <f t="shared" si="44"/>
        <v>60445.766785714288</v>
      </c>
      <c r="I141" s="114">
        <f t="shared" si="45"/>
        <v>3384962.94</v>
      </c>
      <c r="J141" s="114">
        <f t="shared" si="46"/>
        <v>3384962.94</v>
      </c>
      <c r="K141" s="114">
        <f t="shared" si="39"/>
        <v>3384962.94</v>
      </c>
      <c r="L141" s="115">
        <v>518930</v>
      </c>
      <c r="M141" s="115"/>
      <c r="N141" s="115">
        <v>518930</v>
      </c>
      <c r="O141" s="115">
        <v>518930</v>
      </c>
      <c r="P141" s="116">
        <f t="shared" si="47"/>
        <v>3903892.94</v>
      </c>
      <c r="Q141" s="116">
        <f t="shared" si="38"/>
        <v>0</v>
      </c>
      <c r="R141" s="117">
        <f t="shared" si="40"/>
        <v>3903892.94</v>
      </c>
      <c r="S141" s="117"/>
      <c r="T141" s="117">
        <f t="shared" si="41"/>
        <v>3903892.94</v>
      </c>
      <c r="U141" s="105"/>
      <c r="V141" s="105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9"/>
      <c r="AH141" s="119"/>
      <c r="AI141" s="119"/>
      <c r="AJ141" s="110"/>
      <c r="AK141" s="111"/>
      <c r="AL141" s="111"/>
      <c r="AM141" s="119">
        <f>3903292.94+600</f>
        <v>3903892.94</v>
      </c>
      <c r="AN141" s="119"/>
      <c r="AO141" s="119">
        <v>3903292.94</v>
      </c>
      <c r="AP141" s="119">
        <v>3903292.94</v>
      </c>
    </row>
    <row r="142" spans="1:42" ht="110.1" customHeight="1" x14ac:dyDescent="0.25">
      <c r="A142" s="203"/>
      <c r="B142" s="204"/>
      <c r="C142" s="174">
        <f t="shared" si="48"/>
        <v>68</v>
      </c>
      <c r="D142" s="89" t="s">
        <v>233</v>
      </c>
      <c r="E142" s="184">
        <v>110</v>
      </c>
      <c r="F142" s="114">
        <f t="shared" si="42"/>
        <v>34102.250272727266</v>
      </c>
      <c r="G142" s="114">
        <f t="shared" si="43"/>
        <v>34102.250272727266</v>
      </c>
      <c r="H142" s="114">
        <f t="shared" si="44"/>
        <v>34102.250272727266</v>
      </c>
      <c r="I142" s="114">
        <f t="shared" si="45"/>
        <v>3751247.5299999993</v>
      </c>
      <c r="J142" s="114">
        <f t="shared" si="46"/>
        <v>3751247.5299999993</v>
      </c>
      <c r="K142" s="114">
        <f t="shared" si="39"/>
        <v>3751247.5299999993</v>
      </c>
      <c r="L142" s="115">
        <v>517490</v>
      </c>
      <c r="M142" s="115"/>
      <c r="N142" s="115">
        <v>517490</v>
      </c>
      <c r="O142" s="115">
        <v>517490</v>
      </c>
      <c r="P142" s="116">
        <f t="shared" si="47"/>
        <v>4268737.5299999993</v>
      </c>
      <c r="Q142" s="116">
        <f t="shared" si="38"/>
        <v>0</v>
      </c>
      <c r="R142" s="117">
        <f t="shared" si="40"/>
        <v>4268737.5299999993</v>
      </c>
      <c r="S142" s="117"/>
      <c r="T142" s="117">
        <f t="shared" si="41"/>
        <v>4268737.5299999993</v>
      </c>
      <c r="U142" s="105"/>
      <c r="V142" s="105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9"/>
      <c r="AH142" s="119"/>
      <c r="AI142" s="119"/>
      <c r="AJ142" s="110"/>
      <c r="AK142" s="111"/>
      <c r="AL142" s="111"/>
      <c r="AM142" s="119">
        <f>4266738.56+1998.97</f>
        <v>4268737.5299999993</v>
      </c>
      <c r="AN142" s="119"/>
      <c r="AO142" s="119">
        <v>4266738.5599999996</v>
      </c>
      <c r="AP142" s="119">
        <v>4266738.5599999996</v>
      </c>
    </row>
    <row r="143" spans="1:42" ht="58.5" customHeight="1" x14ac:dyDescent="0.25">
      <c r="A143" s="174"/>
      <c r="B143" s="174" t="s">
        <v>151</v>
      </c>
      <c r="C143" s="174"/>
      <c r="D143" s="120"/>
      <c r="E143" s="128">
        <f>SUM(E75:E142)</f>
        <v>14060</v>
      </c>
      <c r="F143" s="129"/>
      <c r="G143" s="129"/>
      <c r="H143" s="129"/>
      <c r="I143" s="129">
        <f t="shared" ref="I143:N143" si="49">SUM(I75:I142)</f>
        <v>466413940</v>
      </c>
      <c r="J143" s="129">
        <f t="shared" si="49"/>
        <v>466413940</v>
      </c>
      <c r="K143" s="129">
        <f t="shared" si="49"/>
        <v>466413940</v>
      </c>
      <c r="L143" s="130">
        <f t="shared" si="49"/>
        <v>94758160</v>
      </c>
      <c r="M143" s="130">
        <f t="shared" si="49"/>
        <v>0</v>
      </c>
      <c r="N143" s="130">
        <f t="shared" si="49"/>
        <v>94758160</v>
      </c>
      <c r="O143" s="130">
        <f>SUM(O75:O142)</f>
        <v>94758160</v>
      </c>
      <c r="P143" s="130">
        <f>SUM(P75:P142)</f>
        <v>561172100</v>
      </c>
      <c r="Q143" s="130"/>
      <c r="R143" s="192">
        <f t="shared" si="40"/>
        <v>561172100</v>
      </c>
      <c r="S143" s="192"/>
      <c r="T143" s="192">
        <f t="shared" si="41"/>
        <v>561172100</v>
      </c>
      <c r="U143" s="105"/>
      <c r="V143" s="105"/>
      <c r="W143" s="131"/>
      <c r="X143" s="131"/>
      <c r="Y143" s="131"/>
      <c r="Z143" s="118"/>
      <c r="AA143" s="118"/>
      <c r="AB143" s="118"/>
      <c r="AC143" s="118"/>
      <c r="AD143" s="118"/>
      <c r="AE143" s="118"/>
      <c r="AF143" s="118"/>
      <c r="AG143" s="131"/>
      <c r="AH143" s="131"/>
      <c r="AI143" s="131"/>
      <c r="AJ143" s="180"/>
      <c r="AK143" s="132"/>
      <c r="AL143" s="132"/>
      <c r="AM143" s="131">
        <f>SUM(AM75:AM142)</f>
        <v>561172100</v>
      </c>
      <c r="AN143" s="131"/>
      <c r="AO143" s="131"/>
      <c r="AP143" s="131"/>
    </row>
    <row r="144" spans="1:42" ht="110.1" hidden="1" customHeight="1" x14ac:dyDescent="0.25">
      <c r="A144" s="174"/>
      <c r="B144" s="174"/>
      <c r="C144" s="174"/>
      <c r="D144" s="120"/>
      <c r="E144" s="129"/>
      <c r="F144" s="133"/>
      <c r="G144" s="133"/>
      <c r="H144" s="133"/>
      <c r="I144" s="133">
        <f>SUM(I6:I73)</f>
        <v>1324441000</v>
      </c>
      <c r="J144" s="133"/>
      <c r="K144" s="133"/>
      <c r="L144" s="134"/>
      <c r="M144" s="134"/>
      <c r="N144" s="134"/>
      <c r="O144" s="134"/>
      <c r="P144" s="134"/>
      <c r="Q144" s="134"/>
      <c r="R144" s="117">
        <f t="shared" si="40"/>
        <v>0</v>
      </c>
      <c r="S144" s="117"/>
      <c r="T144" s="117">
        <f t="shared" si="41"/>
        <v>0</v>
      </c>
      <c r="U144" s="105"/>
      <c r="V144" s="105"/>
      <c r="W144" s="131"/>
      <c r="X144" s="131"/>
      <c r="Y144" s="131"/>
      <c r="Z144" s="118"/>
      <c r="AA144" s="118"/>
      <c r="AB144" s="118"/>
      <c r="AC144" s="118"/>
      <c r="AD144" s="118"/>
      <c r="AE144" s="118"/>
      <c r="AF144" s="118"/>
      <c r="AG144" s="131"/>
      <c r="AH144" s="131"/>
      <c r="AI144" s="131"/>
      <c r="AJ144" s="110"/>
      <c r="AK144" s="111"/>
      <c r="AL144" s="111"/>
      <c r="AM144" s="131"/>
      <c r="AN144" s="131"/>
      <c r="AO144" s="131"/>
      <c r="AP144" s="131"/>
    </row>
    <row r="145" spans="1:46" ht="116.25" customHeight="1" x14ac:dyDescent="0.25">
      <c r="A145" s="176" t="s">
        <v>146</v>
      </c>
      <c r="B145" s="177" t="s">
        <v>155</v>
      </c>
      <c r="C145" s="174">
        <v>1</v>
      </c>
      <c r="D145" s="89" t="s">
        <v>234</v>
      </c>
      <c r="E145" s="113">
        <v>264</v>
      </c>
      <c r="F145" s="114">
        <f>I145/E145</f>
        <v>186932.91886363635</v>
      </c>
      <c r="G145" s="114">
        <f>J145/E145</f>
        <v>186932.91886363635</v>
      </c>
      <c r="H145" s="114">
        <f>K145/E145</f>
        <v>186932.91886363635</v>
      </c>
      <c r="I145" s="114">
        <f>P145-L145</f>
        <v>49350290.579999998</v>
      </c>
      <c r="J145" s="114">
        <f>R145-N145</f>
        <v>49350290.579999998</v>
      </c>
      <c r="K145" s="114">
        <f t="shared" ref="K145:K176" si="50">T145-O145</f>
        <v>49350290.579999998</v>
      </c>
      <c r="L145" s="115">
        <v>2303740</v>
      </c>
      <c r="M145" s="115">
        <f t="shared" ref="M145:M176" si="51">L145/L$194*100</f>
        <v>1.4397270909287143</v>
      </c>
      <c r="N145" s="115">
        <f>L145</f>
        <v>2303740</v>
      </c>
      <c r="O145" s="115">
        <f>L145</f>
        <v>2303740</v>
      </c>
      <c r="P145" s="116">
        <f>W145+Z145+AD145+AJ145+AM145</f>
        <v>51654030.579999998</v>
      </c>
      <c r="Q145" s="116">
        <f t="shared" ref="Q145:Q176" si="52">P145/P$194*100</f>
        <v>1.8107252600290411</v>
      </c>
      <c r="R145" s="117">
        <f t="shared" si="40"/>
        <v>51654030.579999998</v>
      </c>
      <c r="S145" s="117"/>
      <c r="T145" s="117">
        <f t="shared" si="41"/>
        <v>51654030.579999998</v>
      </c>
      <c r="U145" s="105"/>
      <c r="V145" s="105"/>
      <c r="W145" s="131">
        <v>40048247</v>
      </c>
      <c r="X145" s="131">
        <v>36679131.090000004</v>
      </c>
      <c r="Y145" s="131">
        <v>36679131.090000004</v>
      </c>
      <c r="Z145" s="118"/>
      <c r="AA145" s="118"/>
      <c r="AB145" s="118"/>
      <c r="AC145" s="118"/>
      <c r="AD145" s="118">
        <v>314597</v>
      </c>
      <c r="AE145" s="118">
        <v>540544.93999999994</v>
      </c>
      <c r="AF145" s="118">
        <v>540544.93999999994</v>
      </c>
      <c r="AG145" s="131"/>
      <c r="AH145" s="131"/>
      <c r="AI145" s="131"/>
      <c r="AJ145" s="110"/>
      <c r="AK145" s="110">
        <v>57407.47</v>
      </c>
      <c r="AL145" s="110">
        <v>57407.47</v>
      </c>
      <c r="AM145" s="135">
        <v>11291186.58</v>
      </c>
      <c r="AN145" s="131">
        <v>3.6260615029551926E-2</v>
      </c>
      <c r="AO145" s="136">
        <v>10047438.186009958</v>
      </c>
      <c r="AP145" s="135">
        <v>10047438.186009958</v>
      </c>
    </row>
    <row r="146" spans="1:46" ht="110.1" customHeight="1" x14ac:dyDescent="0.25">
      <c r="A146" s="203" t="s">
        <v>147</v>
      </c>
      <c r="B146" s="204" t="s">
        <v>165</v>
      </c>
      <c r="C146" s="174">
        <v>2</v>
      </c>
      <c r="D146" s="89" t="s">
        <v>39</v>
      </c>
      <c r="E146" s="113">
        <v>156</v>
      </c>
      <c r="F146" s="114">
        <f>I146/E146</f>
        <v>126326.50301282051</v>
      </c>
      <c r="G146" s="114">
        <f t="shared" ref="G146:G193" si="53">J146/E146</f>
        <v>126326.50301282051</v>
      </c>
      <c r="H146" s="114">
        <f t="shared" ref="H146:H193" si="54">K146/E146</f>
        <v>126326.50301282051</v>
      </c>
      <c r="I146" s="114">
        <f t="shared" ref="I146:I202" si="55">P146-L146</f>
        <v>19706934.469999999</v>
      </c>
      <c r="J146" s="114">
        <f t="shared" ref="J146:J193" si="56">R146-N146</f>
        <v>19706934.469999999</v>
      </c>
      <c r="K146" s="114">
        <f t="shared" si="50"/>
        <v>19706934.469999999</v>
      </c>
      <c r="L146" s="115">
        <v>1427010</v>
      </c>
      <c r="M146" s="115">
        <f t="shared" si="51"/>
        <v>0.89181285910136765</v>
      </c>
      <c r="N146" s="115">
        <f>L146</f>
        <v>1427010</v>
      </c>
      <c r="O146" s="115">
        <f t="shared" ref="O146:O192" si="57">L146</f>
        <v>1427010</v>
      </c>
      <c r="P146" s="116">
        <f t="shared" ref="P146:P202" si="58">W146+Z146+AD146+AJ146+AM146</f>
        <v>21133944.469999999</v>
      </c>
      <c r="Q146" s="116">
        <f t="shared" si="52"/>
        <v>0.7408476485995078</v>
      </c>
      <c r="R146" s="117">
        <f t="shared" si="40"/>
        <v>21133944.469999999</v>
      </c>
      <c r="S146" s="117"/>
      <c r="T146" s="117">
        <f t="shared" si="41"/>
        <v>21133944.469999999</v>
      </c>
      <c r="U146" s="105"/>
      <c r="V146" s="105"/>
      <c r="W146" s="131">
        <v>17673051</v>
      </c>
      <c r="X146" s="131">
        <v>15557900.939999999</v>
      </c>
      <c r="Y146" s="131">
        <v>15557900.939999999</v>
      </c>
      <c r="Z146" s="118"/>
      <c r="AA146" s="118"/>
      <c r="AB146" s="118"/>
      <c r="AC146" s="118"/>
      <c r="AD146" s="118">
        <v>324800</v>
      </c>
      <c r="AE146" s="118">
        <v>295775.34999999998</v>
      </c>
      <c r="AF146" s="118">
        <v>295775.34999999998</v>
      </c>
      <c r="AG146" s="131"/>
      <c r="AH146" s="131"/>
      <c r="AI146" s="131"/>
      <c r="AJ146" s="110"/>
      <c r="AK146" s="110">
        <v>129166.8</v>
      </c>
      <c r="AL146" s="110">
        <v>129166.8</v>
      </c>
      <c r="AM146" s="135">
        <v>3136093.47</v>
      </c>
      <c r="AN146" s="131">
        <v>8.5755069322265946E-3</v>
      </c>
      <c r="AO146" s="136">
        <v>2376180.8646407137</v>
      </c>
      <c r="AP146" s="135">
        <v>2376180.8646407137</v>
      </c>
    </row>
    <row r="147" spans="1:46" ht="110.1" customHeight="1" x14ac:dyDescent="0.25">
      <c r="A147" s="203"/>
      <c r="B147" s="204"/>
      <c r="C147" s="174">
        <v>3</v>
      </c>
      <c r="D147" s="89" t="s">
        <v>32</v>
      </c>
      <c r="E147" s="113">
        <v>144</v>
      </c>
      <c r="F147" s="114">
        <f>I147/E147</f>
        <v>152716.20388888888</v>
      </c>
      <c r="G147" s="114">
        <f t="shared" si="53"/>
        <v>152716.20388888888</v>
      </c>
      <c r="H147" s="114">
        <f t="shared" si="54"/>
        <v>152716.20388888888</v>
      </c>
      <c r="I147" s="114">
        <f t="shared" si="55"/>
        <v>21991133.359999999</v>
      </c>
      <c r="J147" s="114">
        <f t="shared" si="56"/>
        <v>21991133.359999999</v>
      </c>
      <c r="K147" s="114">
        <f t="shared" si="50"/>
        <v>21991133.359999999</v>
      </c>
      <c r="L147" s="115">
        <v>1460190</v>
      </c>
      <c r="M147" s="115">
        <f t="shared" si="51"/>
        <v>0.91254876891628378</v>
      </c>
      <c r="N147" s="115">
        <f t="shared" ref="N147:N192" si="59">L147</f>
        <v>1460190</v>
      </c>
      <c r="O147" s="115">
        <f t="shared" si="57"/>
        <v>1460190</v>
      </c>
      <c r="P147" s="116">
        <f t="shared" si="58"/>
        <v>23451323.359999999</v>
      </c>
      <c r="Q147" s="116">
        <f t="shared" si="52"/>
        <v>0.82208306132654041</v>
      </c>
      <c r="R147" s="117">
        <f t="shared" si="40"/>
        <v>23451323.359999999</v>
      </c>
      <c r="S147" s="117"/>
      <c r="T147" s="117">
        <f t="shared" si="41"/>
        <v>23451323.359999999</v>
      </c>
      <c r="U147" s="105"/>
      <c r="V147" s="105"/>
      <c r="W147" s="131">
        <v>20067584</v>
      </c>
      <c r="X147" s="131">
        <v>18140914.109999999</v>
      </c>
      <c r="Y147" s="131">
        <v>18140914.109999999</v>
      </c>
      <c r="Z147" s="118"/>
      <c r="AA147" s="118"/>
      <c r="AB147" s="118"/>
      <c r="AC147" s="118"/>
      <c r="AD147" s="118">
        <v>278110</v>
      </c>
      <c r="AE147" s="118">
        <v>263138.07</v>
      </c>
      <c r="AF147" s="118">
        <v>263138.07</v>
      </c>
      <c r="AG147" s="131"/>
      <c r="AH147" s="131"/>
      <c r="AI147" s="131"/>
      <c r="AJ147" s="110"/>
      <c r="AK147" s="110">
        <v>129166.8</v>
      </c>
      <c r="AL147" s="110">
        <v>129166.8</v>
      </c>
      <c r="AM147" s="135">
        <f>3105029.36+600</f>
        <v>3105629.36</v>
      </c>
      <c r="AN147" s="131">
        <v>1.0194897364682567E-2</v>
      </c>
      <c r="AO147" s="136">
        <v>2824925.7930852715</v>
      </c>
      <c r="AP147" s="135">
        <v>2824925.7930852715</v>
      </c>
    </row>
    <row r="148" spans="1:46" ht="110.1" customHeight="1" x14ac:dyDescent="0.25">
      <c r="A148" s="203"/>
      <c r="B148" s="204"/>
      <c r="C148" s="174">
        <v>4</v>
      </c>
      <c r="D148" s="89" t="s">
        <v>186</v>
      </c>
      <c r="E148" s="113">
        <v>124</v>
      </c>
      <c r="F148" s="114">
        <f>I148/E148</f>
        <v>149671.45427419353</v>
      </c>
      <c r="G148" s="114">
        <f t="shared" si="53"/>
        <v>149671.45427419353</v>
      </c>
      <c r="H148" s="114">
        <f t="shared" si="54"/>
        <v>149671.45427419353</v>
      </c>
      <c r="I148" s="114">
        <f t="shared" si="55"/>
        <v>18559260.329999998</v>
      </c>
      <c r="J148" s="114">
        <f t="shared" si="56"/>
        <v>18559260.329999998</v>
      </c>
      <c r="K148" s="114">
        <f t="shared" si="50"/>
        <v>18559260.329999998</v>
      </c>
      <c r="L148" s="115">
        <v>921700</v>
      </c>
      <c r="M148" s="115">
        <f t="shared" si="51"/>
        <v>0.5760183265945793</v>
      </c>
      <c r="N148" s="115">
        <f t="shared" si="59"/>
        <v>921700</v>
      </c>
      <c r="O148" s="115">
        <f t="shared" si="57"/>
        <v>921700</v>
      </c>
      <c r="P148" s="116">
        <f t="shared" si="58"/>
        <v>19480960.329999998</v>
      </c>
      <c r="Q148" s="116">
        <f t="shared" si="52"/>
        <v>0.68290250660154173</v>
      </c>
      <c r="R148" s="117">
        <f t="shared" si="40"/>
        <v>19480960.329999998</v>
      </c>
      <c r="S148" s="117"/>
      <c r="T148" s="117">
        <f t="shared" si="41"/>
        <v>19480960.329999998</v>
      </c>
      <c r="U148" s="105"/>
      <c r="V148" s="105"/>
      <c r="W148" s="131">
        <v>16871781</v>
      </c>
      <c r="X148" s="131">
        <v>14606323.789999999</v>
      </c>
      <c r="Y148" s="131">
        <v>14606323.789999999</v>
      </c>
      <c r="Z148" s="118"/>
      <c r="AA148" s="118"/>
      <c r="AB148" s="118"/>
      <c r="AC148" s="118"/>
      <c r="AD148" s="118">
        <v>318710</v>
      </c>
      <c r="AE148" s="118">
        <v>238660.11</v>
      </c>
      <c r="AF148" s="118">
        <v>238660.11</v>
      </c>
      <c r="AG148" s="131"/>
      <c r="AH148" s="131"/>
      <c r="AI148" s="131"/>
      <c r="AJ148" s="110"/>
      <c r="AK148" s="110">
        <v>129166.8</v>
      </c>
      <c r="AL148" s="110">
        <v>129166.8</v>
      </c>
      <c r="AM148" s="135">
        <v>2290469.33</v>
      </c>
      <c r="AN148" s="131">
        <v>7.4361601361891284E-3</v>
      </c>
      <c r="AO148" s="136">
        <v>2060497.2235101266</v>
      </c>
      <c r="AP148" s="135">
        <v>2060497.2235101266</v>
      </c>
    </row>
    <row r="149" spans="1:46" ht="110.1" customHeight="1" x14ac:dyDescent="0.25">
      <c r="A149" s="203"/>
      <c r="B149" s="204"/>
      <c r="C149" s="174">
        <v>5</v>
      </c>
      <c r="D149" s="89" t="s">
        <v>26</v>
      </c>
      <c r="E149" s="137">
        <v>149</v>
      </c>
      <c r="F149" s="114">
        <v>96003.09</v>
      </c>
      <c r="G149" s="114">
        <f t="shared" si="53"/>
        <v>121905.62416107382</v>
      </c>
      <c r="H149" s="114">
        <f t="shared" si="54"/>
        <v>121905.62416107382</v>
      </c>
      <c r="I149" s="114">
        <f t="shared" si="55"/>
        <v>18163938</v>
      </c>
      <c r="J149" s="114">
        <f t="shared" si="56"/>
        <v>18163938</v>
      </c>
      <c r="K149" s="114">
        <f t="shared" si="50"/>
        <v>18163938</v>
      </c>
      <c r="L149" s="115">
        <v>387480</v>
      </c>
      <c r="M149" s="115">
        <f t="shared" si="51"/>
        <v>0.24215642962880285</v>
      </c>
      <c r="N149" s="115">
        <f t="shared" si="59"/>
        <v>387480</v>
      </c>
      <c r="O149" s="115">
        <f t="shared" si="57"/>
        <v>387480</v>
      </c>
      <c r="P149" s="116">
        <f t="shared" si="58"/>
        <v>18551418</v>
      </c>
      <c r="Q149" s="116">
        <f t="shared" si="52"/>
        <v>0.65031752226831629</v>
      </c>
      <c r="R149" s="117">
        <f t="shared" si="40"/>
        <v>18551418</v>
      </c>
      <c r="S149" s="117"/>
      <c r="T149" s="117">
        <f t="shared" si="41"/>
        <v>18551418</v>
      </c>
      <c r="U149" s="105"/>
      <c r="V149" s="105"/>
      <c r="W149" s="131">
        <v>16990673</v>
      </c>
      <c r="X149" s="131">
        <v>14852042.439999999</v>
      </c>
      <c r="Y149" s="131">
        <v>14852042.439999999</v>
      </c>
      <c r="Z149" s="118"/>
      <c r="AA149" s="118"/>
      <c r="AB149" s="118"/>
      <c r="AC149" s="118"/>
      <c r="AD149" s="118">
        <v>302470</v>
      </c>
      <c r="AE149" s="118">
        <v>277416.88</v>
      </c>
      <c r="AF149" s="118">
        <v>277416.88</v>
      </c>
      <c r="AG149" s="131"/>
      <c r="AH149" s="131"/>
      <c r="AI149" s="131"/>
      <c r="AJ149" s="110"/>
      <c r="AK149" s="110">
        <v>129166.8</v>
      </c>
      <c r="AL149" s="110">
        <v>129166.8</v>
      </c>
      <c r="AM149" s="135">
        <f>1257675+600</f>
        <v>1258275</v>
      </c>
      <c r="AN149" s="131">
        <v>3.6218827510577731E-3</v>
      </c>
      <c r="AO149" s="136">
        <v>1003634.5253183943</v>
      </c>
      <c r="AP149" s="135">
        <v>1003634.5253183943</v>
      </c>
    </row>
    <row r="150" spans="1:46" ht="110.1" customHeight="1" x14ac:dyDescent="0.25">
      <c r="A150" s="203"/>
      <c r="B150" s="204"/>
      <c r="C150" s="174">
        <v>6</v>
      </c>
      <c r="D150" s="89" t="s">
        <v>33</v>
      </c>
      <c r="E150" s="113">
        <v>301</v>
      </c>
      <c r="F150" s="114">
        <v>81342.92</v>
      </c>
      <c r="G150" s="114">
        <f t="shared" si="53"/>
        <v>66579.466046511632</v>
      </c>
      <c r="H150" s="114">
        <f t="shared" si="54"/>
        <v>66579.466046511632</v>
      </c>
      <c r="I150" s="114">
        <f t="shared" si="55"/>
        <v>20040419.280000001</v>
      </c>
      <c r="J150" s="114">
        <f t="shared" si="56"/>
        <v>20040419.280000001</v>
      </c>
      <c r="K150" s="114">
        <f t="shared" si="50"/>
        <v>20040419.280000001</v>
      </c>
      <c r="L150" s="115">
        <v>5626690</v>
      </c>
      <c r="M150" s="115">
        <f t="shared" si="51"/>
        <v>3.5164115851865607</v>
      </c>
      <c r="N150" s="115">
        <f t="shared" si="59"/>
        <v>5626690</v>
      </c>
      <c r="O150" s="115">
        <f t="shared" si="57"/>
        <v>5626690</v>
      </c>
      <c r="P150" s="116">
        <f t="shared" si="58"/>
        <v>25667109.280000001</v>
      </c>
      <c r="Q150" s="116">
        <f t="shared" si="52"/>
        <v>0.89975714582894462</v>
      </c>
      <c r="R150" s="117">
        <f t="shared" si="40"/>
        <v>25667109.280000001</v>
      </c>
      <c r="S150" s="117"/>
      <c r="T150" s="117">
        <f t="shared" si="41"/>
        <v>25667109.280000001</v>
      </c>
      <c r="U150" s="105"/>
      <c r="V150" s="105"/>
      <c r="W150" s="131">
        <v>22448569</v>
      </c>
      <c r="X150" s="131">
        <v>20729212.739999998</v>
      </c>
      <c r="Y150" s="131">
        <v>20729212.739999998</v>
      </c>
      <c r="Z150" s="118"/>
      <c r="AA150" s="118"/>
      <c r="AB150" s="118"/>
      <c r="AC150" s="118"/>
      <c r="AD150" s="118">
        <v>604940</v>
      </c>
      <c r="AE150" s="118">
        <v>558913.42000000004</v>
      </c>
      <c r="AF150" s="118">
        <v>558913.42000000004</v>
      </c>
      <c r="AG150" s="131"/>
      <c r="AH150" s="131"/>
      <c r="AI150" s="131"/>
      <c r="AJ150" s="110"/>
      <c r="AK150" s="110">
        <v>157870.54</v>
      </c>
      <c r="AL150" s="110">
        <v>157870.54</v>
      </c>
      <c r="AM150" s="135">
        <f>2611200.28+2400</f>
        <v>2613600.2799999998</v>
      </c>
      <c r="AN150" s="131">
        <v>2.5487541185000767E-2</v>
      </c>
      <c r="AO150" s="136">
        <v>5802085.442795244</v>
      </c>
      <c r="AP150" s="135">
        <v>5802085.442795244</v>
      </c>
    </row>
    <row r="151" spans="1:46" ht="110.1" customHeight="1" x14ac:dyDescent="0.25">
      <c r="A151" s="203"/>
      <c r="B151" s="204"/>
      <c r="C151" s="174">
        <v>7</v>
      </c>
      <c r="D151" s="89" t="s">
        <v>185</v>
      </c>
      <c r="E151" s="113">
        <v>210</v>
      </c>
      <c r="F151" s="114">
        <v>101052.71</v>
      </c>
      <c r="G151" s="114">
        <f t="shared" si="53"/>
        <v>98059.542142857157</v>
      </c>
      <c r="H151" s="114">
        <f t="shared" si="54"/>
        <v>98059.542142857157</v>
      </c>
      <c r="I151" s="114">
        <f t="shared" si="55"/>
        <v>20592503.850000001</v>
      </c>
      <c r="J151" s="114">
        <f t="shared" si="56"/>
        <v>20592503.850000001</v>
      </c>
      <c r="K151" s="114">
        <f t="shared" si="50"/>
        <v>20592503.850000001</v>
      </c>
      <c r="L151" s="115">
        <v>899820</v>
      </c>
      <c r="M151" s="115">
        <f t="shared" si="51"/>
        <v>0.56234437521572567</v>
      </c>
      <c r="N151" s="115">
        <f t="shared" si="59"/>
        <v>899820</v>
      </c>
      <c r="O151" s="115">
        <f t="shared" si="57"/>
        <v>899820</v>
      </c>
      <c r="P151" s="116">
        <f t="shared" si="58"/>
        <v>21492323.850000001</v>
      </c>
      <c r="Q151" s="116">
        <f t="shared" si="52"/>
        <v>0.753410590711731</v>
      </c>
      <c r="R151" s="117">
        <f t="shared" si="40"/>
        <v>21492323.850000001</v>
      </c>
      <c r="S151" s="117"/>
      <c r="T151" s="117">
        <f t="shared" si="41"/>
        <v>21492323.850000001</v>
      </c>
      <c r="U151" s="105"/>
      <c r="V151" s="105"/>
      <c r="W151" s="131">
        <v>18899334</v>
      </c>
      <c r="X151" s="131">
        <v>17063035.579999998</v>
      </c>
      <c r="Y151" s="131">
        <v>17063035.579999998</v>
      </c>
      <c r="Z151" s="118"/>
      <c r="AA151" s="118"/>
      <c r="AB151" s="118"/>
      <c r="AC151" s="118"/>
      <c r="AD151" s="118">
        <v>426300</v>
      </c>
      <c r="AE151" s="118">
        <v>387567.7</v>
      </c>
      <c r="AF151" s="118">
        <v>387567.7</v>
      </c>
      <c r="AG151" s="131"/>
      <c r="AH151" s="131"/>
      <c r="AI151" s="131"/>
      <c r="AJ151" s="110"/>
      <c r="AK151" s="110">
        <v>157870.54</v>
      </c>
      <c r="AL151" s="110">
        <v>157870.54</v>
      </c>
      <c r="AM151" s="135">
        <f>2166089.85+600</f>
        <v>2166689.85</v>
      </c>
      <c r="AN151" s="131">
        <v>6.1247665478588618E-3</v>
      </c>
      <c r="AO151" s="136">
        <v>1703010.5738322299</v>
      </c>
      <c r="AP151" s="135">
        <v>1703010.5738322299</v>
      </c>
    </row>
    <row r="152" spans="1:46" ht="110.1" customHeight="1" x14ac:dyDescent="0.25">
      <c r="A152" s="203"/>
      <c r="B152" s="204"/>
      <c r="C152" s="174">
        <v>8</v>
      </c>
      <c r="D152" s="89" t="s">
        <v>27</v>
      </c>
      <c r="E152" s="113">
        <v>115</v>
      </c>
      <c r="F152" s="114">
        <v>137148.37</v>
      </c>
      <c r="G152" s="114">
        <f t="shared" si="53"/>
        <v>140480.16826086957</v>
      </c>
      <c r="H152" s="114">
        <f t="shared" si="54"/>
        <v>140480.16826086957</v>
      </c>
      <c r="I152" s="114">
        <f t="shared" si="55"/>
        <v>16155219.350000001</v>
      </c>
      <c r="J152" s="114">
        <f t="shared" si="56"/>
        <v>16155219.350000001</v>
      </c>
      <c r="K152" s="114">
        <f t="shared" si="50"/>
        <v>16155219.350000001</v>
      </c>
      <c r="L152" s="115">
        <v>694810</v>
      </c>
      <c r="M152" s="115">
        <f t="shared" si="51"/>
        <v>0.43422295052748144</v>
      </c>
      <c r="N152" s="115">
        <f t="shared" si="59"/>
        <v>694810</v>
      </c>
      <c r="O152" s="115">
        <f t="shared" si="57"/>
        <v>694810</v>
      </c>
      <c r="P152" s="116">
        <f t="shared" si="58"/>
        <v>16850029.350000001</v>
      </c>
      <c r="Q152" s="116">
        <f t="shared" si="52"/>
        <v>0.590675566527605</v>
      </c>
      <c r="R152" s="117">
        <f t="shared" si="40"/>
        <v>16850029.350000001</v>
      </c>
      <c r="S152" s="117"/>
      <c r="T152" s="117">
        <f t="shared" si="41"/>
        <v>16850029.350000001</v>
      </c>
      <c r="U152" s="105"/>
      <c r="V152" s="105"/>
      <c r="W152" s="118">
        <v>14861731</v>
      </c>
      <c r="X152" s="118">
        <v>13317262.48</v>
      </c>
      <c r="Y152" s="118">
        <v>13317262.48</v>
      </c>
      <c r="Z152" s="118"/>
      <c r="AA152" s="118"/>
      <c r="AB152" s="118"/>
      <c r="AC152" s="118"/>
      <c r="AD152" s="118">
        <v>225330</v>
      </c>
      <c r="AE152" s="118">
        <v>214182.15</v>
      </c>
      <c r="AF152" s="118">
        <v>214182.15</v>
      </c>
      <c r="AG152" s="138"/>
      <c r="AH152" s="138"/>
      <c r="AI152" s="138"/>
      <c r="AJ152" s="110"/>
      <c r="AK152" s="110">
        <v>129166.8</v>
      </c>
      <c r="AL152" s="110">
        <v>129166.8</v>
      </c>
      <c r="AM152" s="135">
        <f>1761768.35+1200</f>
        <v>1762968.35</v>
      </c>
      <c r="AN152" s="131">
        <v>5.2146390166299553E-3</v>
      </c>
      <c r="AO152" s="136">
        <v>1444962.7125863638</v>
      </c>
      <c r="AP152" s="135">
        <v>1444962.7125863638</v>
      </c>
    </row>
    <row r="153" spans="1:46" ht="110.1" customHeight="1" x14ac:dyDescent="0.25">
      <c r="A153" s="203"/>
      <c r="B153" s="204"/>
      <c r="C153" s="174">
        <v>9</v>
      </c>
      <c r="D153" s="89" t="s">
        <v>30</v>
      </c>
      <c r="E153" s="113">
        <v>148</v>
      </c>
      <c r="F153" s="114">
        <v>123106.55</v>
      </c>
      <c r="G153" s="114">
        <f t="shared" si="53"/>
        <v>147349.98763513516</v>
      </c>
      <c r="H153" s="114">
        <f t="shared" si="54"/>
        <v>147349.98763513516</v>
      </c>
      <c r="I153" s="114">
        <f t="shared" si="55"/>
        <v>21807798.170000002</v>
      </c>
      <c r="J153" s="114">
        <f t="shared" si="56"/>
        <v>21807798.170000002</v>
      </c>
      <c r="K153" s="114">
        <f t="shared" si="50"/>
        <v>21807798.170000002</v>
      </c>
      <c r="L153" s="115">
        <v>1573940</v>
      </c>
      <c r="M153" s="115">
        <f t="shared" si="51"/>
        <v>0.98363706733239886</v>
      </c>
      <c r="N153" s="115">
        <f t="shared" si="59"/>
        <v>1573940</v>
      </c>
      <c r="O153" s="115">
        <f t="shared" si="57"/>
        <v>1573940</v>
      </c>
      <c r="P153" s="116">
        <f t="shared" si="58"/>
        <v>23381738.170000002</v>
      </c>
      <c r="Q153" s="116">
        <f t="shared" si="52"/>
        <v>0.81964376162732766</v>
      </c>
      <c r="R153" s="117">
        <f t="shared" si="40"/>
        <v>23381738.170000002</v>
      </c>
      <c r="S153" s="117"/>
      <c r="T153" s="117">
        <f t="shared" si="41"/>
        <v>23381738.170000002</v>
      </c>
      <c r="U153" s="105"/>
      <c r="V153" s="105"/>
      <c r="W153" s="118">
        <v>18974865</v>
      </c>
      <c r="X153" s="118">
        <v>16645111.26</v>
      </c>
      <c r="Y153" s="118">
        <v>16645111.26</v>
      </c>
      <c r="Z153" s="118"/>
      <c r="AA153" s="118"/>
      <c r="AB153" s="118"/>
      <c r="AC153" s="118"/>
      <c r="AD153" s="118">
        <v>318710</v>
      </c>
      <c r="AE153" s="118">
        <v>265177.90000000002</v>
      </c>
      <c r="AF153" s="118">
        <v>265177.90000000002</v>
      </c>
      <c r="AG153" s="138"/>
      <c r="AH153" s="138"/>
      <c r="AI153" s="138"/>
      <c r="AJ153" s="110"/>
      <c r="AK153" s="110">
        <v>129166.8</v>
      </c>
      <c r="AL153" s="110">
        <v>129166.8</v>
      </c>
      <c r="AM153" s="135">
        <f>4085763.17+2400</f>
        <v>4088163.17</v>
      </c>
      <c r="AN153" s="131">
        <v>1.1498317245908492E-2</v>
      </c>
      <c r="AO153" s="136">
        <v>3218469.108765034</v>
      </c>
      <c r="AP153" s="135">
        <v>3218469.108765034</v>
      </c>
    </row>
    <row r="154" spans="1:46" ht="152.25" customHeight="1" x14ac:dyDescent="0.25">
      <c r="A154" s="203"/>
      <c r="B154" s="204"/>
      <c r="C154" s="174">
        <v>10</v>
      </c>
      <c r="D154" s="89" t="s">
        <v>196</v>
      </c>
      <c r="E154" s="113">
        <v>176</v>
      </c>
      <c r="F154" s="114">
        <f>I154/E154</f>
        <v>410353.57028409094</v>
      </c>
      <c r="G154" s="114">
        <f>J154/E154</f>
        <v>410353.57028409094</v>
      </c>
      <c r="H154" s="114">
        <f>K154/E154</f>
        <v>410353.57028409094</v>
      </c>
      <c r="I154" s="114">
        <f>P154-L154</f>
        <v>72222228.370000005</v>
      </c>
      <c r="J154" s="114">
        <f t="shared" ref="J154:J156" si="60">R154-N154</f>
        <v>72222228.370000005</v>
      </c>
      <c r="K154" s="114">
        <f t="shared" si="50"/>
        <v>72222228.370000005</v>
      </c>
      <c r="L154" s="115">
        <v>2108380</v>
      </c>
      <c r="M154" s="115">
        <f t="shared" si="51"/>
        <v>1.3176364537544527</v>
      </c>
      <c r="N154" s="115">
        <f>L154</f>
        <v>2108380</v>
      </c>
      <c r="O154" s="115">
        <f>L154</f>
        <v>2108380</v>
      </c>
      <c r="P154" s="116">
        <f t="shared" si="58"/>
        <v>74330608.370000005</v>
      </c>
      <c r="Q154" s="116">
        <f t="shared" si="52"/>
        <v>2.6056497171200053</v>
      </c>
      <c r="R154" s="117">
        <f t="shared" si="40"/>
        <v>74330608.370000005</v>
      </c>
      <c r="S154" s="117"/>
      <c r="T154" s="117">
        <f t="shared" si="41"/>
        <v>74330608.370000005</v>
      </c>
      <c r="U154" s="105"/>
      <c r="V154" s="105"/>
      <c r="W154" s="118">
        <v>55384691</v>
      </c>
      <c r="X154" s="118">
        <v>49007202.409999996</v>
      </c>
      <c r="Y154" s="118">
        <v>49007202.409999996</v>
      </c>
      <c r="Z154" s="118"/>
      <c r="AA154" s="118"/>
      <c r="AB154" s="118"/>
      <c r="AC154" s="118"/>
      <c r="AD154" s="118">
        <v>313317</v>
      </c>
      <c r="AE154" s="118">
        <v>338611.78</v>
      </c>
      <c r="AF154" s="118">
        <v>338611.78</v>
      </c>
      <c r="AG154" s="138"/>
      <c r="AH154" s="138"/>
      <c r="AI154" s="138"/>
      <c r="AJ154" s="139"/>
      <c r="AK154" s="139">
        <v>229629.88</v>
      </c>
      <c r="AL154" s="139">
        <v>229629.88</v>
      </c>
      <c r="AM154" s="135">
        <f>18631400.37+1200</f>
        <v>18632600.370000001</v>
      </c>
      <c r="AN154" s="140">
        <v>0.29019475988733645</v>
      </c>
      <c r="AO154" s="141">
        <v>14313894.244034214</v>
      </c>
      <c r="AP154" s="135">
        <v>14313894.244034214</v>
      </c>
      <c r="AQ154" s="142"/>
    </row>
    <row r="155" spans="1:46" ht="153.75" customHeight="1" x14ac:dyDescent="0.25">
      <c r="A155" s="203"/>
      <c r="B155" s="204"/>
      <c r="C155" s="174">
        <v>11</v>
      </c>
      <c r="D155" s="143" t="s">
        <v>171</v>
      </c>
      <c r="E155" s="113">
        <v>127</v>
      </c>
      <c r="F155" s="114">
        <f>I155/E155</f>
        <v>716747.86433070863</v>
      </c>
      <c r="G155" s="114">
        <f>J155/E155</f>
        <v>716747.86433070863</v>
      </c>
      <c r="H155" s="114">
        <f>K155/E155</f>
        <v>716747.86433070863</v>
      </c>
      <c r="I155" s="114">
        <f>P155-L155</f>
        <v>91026978.769999996</v>
      </c>
      <c r="J155" s="114">
        <f t="shared" si="60"/>
        <v>91026978.769999996</v>
      </c>
      <c r="K155" s="114">
        <f t="shared" si="50"/>
        <v>91026978.769999996</v>
      </c>
      <c r="L155" s="115">
        <v>626670</v>
      </c>
      <c r="M155" s="115">
        <f t="shared" si="51"/>
        <v>0.39163871620595092</v>
      </c>
      <c r="N155" s="115">
        <f>L155</f>
        <v>626670</v>
      </c>
      <c r="O155" s="115">
        <f>L155</f>
        <v>626670</v>
      </c>
      <c r="P155" s="116">
        <f t="shared" si="58"/>
        <v>91653648.769999996</v>
      </c>
      <c r="Q155" s="116">
        <f t="shared" si="52"/>
        <v>3.212906623901036</v>
      </c>
      <c r="R155" s="117">
        <f t="shared" si="40"/>
        <v>91653648.769999996</v>
      </c>
      <c r="S155" s="117"/>
      <c r="T155" s="117">
        <f t="shared" si="41"/>
        <v>91653648.769999996</v>
      </c>
      <c r="U155" s="105"/>
      <c r="V155" s="105"/>
      <c r="W155" s="118">
        <v>70658881</v>
      </c>
      <c r="X155" s="118">
        <v>58624190.420000002</v>
      </c>
      <c r="Y155" s="118">
        <v>58624190.420000002</v>
      </c>
      <c r="Z155" s="118"/>
      <c r="AA155" s="118"/>
      <c r="AB155" s="118"/>
      <c r="AC155" s="118"/>
      <c r="AD155" s="118">
        <v>185860</v>
      </c>
      <c r="AE155" s="118">
        <v>224381.3</v>
      </c>
      <c r="AF155" s="118">
        <v>224381.3</v>
      </c>
      <c r="AG155" s="138"/>
      <c r="AH155" s="138"/>
      <c r="AI155" s="138"/>
      <c r="AJ155" s="139"/>
      <c r="AK155" s="139">
        <v>215278.01</v>
      </c>
      <c r="AL155" s="139">
        <v>215278.01</v>
      </c>
      <c r="AM155" s="135">
        <f>20788907.77+20000</f>
        <v>20808907.77</v>
      </c>
      <c r="AN155" s="140">
        <v>0.2723166475412182</v>
      </c>
      <c r="AO155" s="141">
        <v>13432060.229325563</v>
      </c>
      <c r="AP155" s="135">
        <v>13432060.229325563</v>
      </c>
      <c r="AQ155" s="142"/>
    </row>
    <row r="156" spans="1:46" ht="153.75" customHeight="1" x14ac:dyDescent="0.25">
      <c r="A156" s="203"/>
      <c r="B156" s="204"/>
      <c r="C156" s="174">
        <v>12</v>
      </c>
      <c r="D156" s="143" t="s">
        <v>197</v>
      </c>
      <c r="E156" s="113">
        <v>120</v>
      </c>
      <c r="F156" s="114">
        <f>I156/E156</f>
        <v>723573.14049999998</v>
      </c>
      <c r="G156" s="114">
        <f>J156/E156</f>
        <v>723573.14049999998</v>
      </c>
      <c r="H156" s="114">
        <f>K156/E156</f>
        <v>723573.14049999998</v>
      </c>
      <c r="I156" s="114">
        <f>P156-L156</f>
        <v>86828776.859999999</v>
      </c>
      <c r="J156" s="114">
        <f t="shared" si="60"/>
        <v>86828776.859999999</v>
      </c>
      <c r="K156" s="114">
        <f t="shared" si="50"/>
        <v>86828776.859999999</v>
      </c>
      <c r="L156" s="115">
        <v>2849340</v>
      </c>
      <c r="M156" s="115">
        <f t="shared" si="51"/>
        <v>1.7807009424964722</v>
      </c>
      <c r="N156" s="115">
        <f>L156</f>
        <v>2849340</v>
      </c>
      <c r="O156" s="115">
        <f>L156</f>
        <v>2849340</v>
      </c>
      <c r="P156" s="116">
        <f t="shared" si="58"/>
        <v>89678116.859999999</v>
      </c>
      <c r="Q156" s="116">
        <f t="shared" si="52"/>
        <v>3.1436546121748599</v>
      </c>
      <c r="R156" s="117">
        <f t="shared" si="40"/>
        <v>89678116.859999999</v>
      </c>
      <c r="S156" s="117"/>
      <c r="T156" s="117">
        <f t="shared" si="41"/>
        <v>89678116.859999999</v>
      </c>
      <c r="U156" s="105"/>
      <c r="V156" s="105"/>
      <c r="W156" s="118">
        <v>61706257</v>
      </c>
      <c r="X156" s="118">
        <v>55954906.259999998</v>
      </c>
      <c r="Y156" s="118">
        <v>55954906.259999998</v>
      </c>
      <c r="Z156" s="118"/>
      <c r="AA156" s="118"/>
      <c r="AB156" s="118"/>
      <c r="AC156" s="118"/>
      <c r="AD156" s="118">
        <v>163530</v>
      </c>
      <c r="AE156" s="118">
        <v>230500.79</v>
      </c>
      <c r="AF156" s="118">
        <v>230500.79</v>
      </c>
      <c r="AG156" s="138"/>
      <c r="AH156" s="138"/>
      <c r="AI156" s="138"/>
      <c r="AJ156" s="139"/>
      <c r="AK156" s="139">
        <v>243981.74</v>
      </c>
      <c r="AL156" s="139">
        <v>243981.74</v>
      </c>
      <c r="AM156" s="135">
        <f>27560930.59+247399.27</f>
        <v>27808329.859999999</v>
      </c>
      <c r="AN156" s="140">
        <v>0.43748859257144534</v>
      </c>
      <c r="AO156" s="141">
        <v>21579189.058724239</v>
      </c>
      <c r="AP156" s="135">
        <v>21579189.058724239</v>
      </c>
      <c r="AQ156" s="142"/>
      <c r="AT156" s="3"/>
    </row>
    <row r="157" spans="1:46" ht="110.1" customHeight="1" x14ac:dyDescent="0.25">
      <c r="A157" s="203" t="s">
        <v>241</v>
      </c>
      <c r="B157" s="214" t="s">
        <v>166</v>
      </c>
      <c r="C157" s="174">
        <v>13</v>
      </c>
      <c r="D157" s="89" t="s">
        <v>193</v>
      </c>
      <c r="E157" s="144">
        <v>1223</v>
      </c>
      <c r="F157" s="145">
        <v>81757.215228260859</v>
      </c>
      <c r="G157" s="114">
        <f t="shared" si="53"/>
        <v>87641.088781684375</v>
      </c>
      <c r="H157" s="114">
        <f t="shared" si="54"/>
        <v>87641.088781684375</v>
      </c>
      <c r="I157" s="114">
        <f t="shared" si="55"/>
        <v>107185051.58</v>
      </c>
      <c r="J157" s="114">
        <f t="shared" si="56"/>
        <v>107185051.58</v>
      </c>
      <c r="K157" s="114">
        <f t="shared" si="50"/>
        <v>107185051.58</v>
      </c>
      <c r="L157" s="117">
        <v>20376780</v>
      </c>
      <c r="M157" s="115">
        <f t="shared" si="51"/>
        <v>12.734510922193653</v>
      </c>
      <c r="N157" s="115">
        <f t="shared" si="59"/>
        <v>20376780</v>
      </c>
      <c r="O157" s="115">
        <f t="shared" si="57"/>
        <v>20376780</v>
      </c>
      <c r="P157" s="116">
        <f t="shared" si="58"/>
        <v>127561831.58</v>
      </c>
      <c r="Q157" s="116">
        <f t="shared" si="52"/>
        <v>4.4716632577150621</v>
      </c>
      <c r="R157" s="117">
        <f t="shared" si="40"/>
        <v>127561831.58</v>
      </c>
      <c r="S157" s="117"/>
      <c r="T157" s="117">
        <f t="shared" si="41"/>
        <v>127561831.58</v>
      </c>
      <c r="U157" s="105"/>
      <c r="V157" s="105"/>
      <c r="W157" s="118">
        <v>91910257</v>
      </c>
      <c r="X157" s="118">
        <v>81784664.239999995</v>
      </c>
      <c r="Y157" s="118">
        <v>81784664.239999995</v>
      </c>
      <c r="Z157" s="118"/>
      <c r="AA157" s="118"/>
      <c r="AB157" s="118"/>
      <c r="AC157" s="118"/>
      <c r="AD157" s="118">
        <v>2590280</v>
      </c>
      <c r="AE157" s="118">
        <v>2353963.8199999998</v>
      </c>
      <c r="AF157" s="118">
        <v>2353963.8199999998</v>
      </c>
      <c r="AG157" s="138"/>
      <c r="AH157" s="138"/>
      <c r="AI157" s="138"/>
      <c r="AJ157" s="110"/>
      <c r="AK157" s="110">
        <v>617130.29</v>
      </c>
      <c r="AL157" s="110">
        <v>617130.29</v>
      </c>
      <c r="AM157" s="135">
        <f>33060094.58+1200</f>
        <v>33061294.579999998</v>
      </c>
      <c r="AN157" s="131">
        <v>9.0814833139910789E-2</v>
      </c>
      <c r="AO157" s="141">
        <v>25163921.013080597</v>
      </c>
      <c r="AP157" s="135">
        <v>25163921.013080597</v>
      </c>
    </row>
    <row r="158" spans="1:46" ht="110.1" customHeight="1" x14ac:dyDescent="0.25">
      <c r="A158" s="203"/>
      <c r="B158" s="215"/>
      <c r="C158" s="174">
        <v>14</v>
      </c>
      <c r="D158" s="89" t="s">
        <v>23</v>
      </c>
      <c r="E158" s="113">
        <v>1591</v>
      </c>
      <c r="F158" s="114">
        <f t="shared" ref="F158:F189" si="61">I158/E158</f>
        <v>62522.502746700186</v>
      </c>
      <c r="G158" s="114">
        <f t="shared" si="53"/>
        <v>62522.502746700186</v>
      </c>
      <c r="H158" s="114">
        <f t="shared" si="54"/>
        <v>62522.502746700186</v>
      </c>
      <c r="I158" s="114">
        <f t="shared" si="55"/>
        <v>99473301.86999999</v>
      </c>
      <c r="J158" s="114">
        <f t="shared" si="56"/>
        <v>99473301.86999999</v>
      </c>
      <c r="K158" s="114">
        <f t="shared" si="50"/>
        <v>99473301.86999999</v>
      </c>
      <c r="L158" s="115">
        <v>5324440</v>
      </c>
      <c r="M158" s="115">
        <f t="shared" si="51"/>
        <v>3.3275198208237406</v>
      </c>
      <c r="N158" s="115">
        <f t="shared" si="59"/>
        <v>5324440</v>
      </c>
      <c r="O158" s="115">
        <f t="shared" si="57"/>
        <v>5324440</v>
      </c>
      <c r="P158" s="116">
        <f t="shared" si="58"/>
        <v>104797741.86999999</v>
      </c>
      <c r="Q158" s="116">
        <f t="shared" si="52"/>
        <v>3.6736710817584388</v>
      </c>
      <c r="R158" s="117">
        <f t="shared" si="40"/>
        <v>104797741.86999999</v>
      </c>
      <c r="S158" s="117"/>
      <c r="T158" s="117">
        <f t="shared" si="41"/>
        <v>104797741.86999999</v>
      </c>
      <c r="U158" s="105"/>
      <c r="V158" s="105"/>
      <c r="W158" s="118">
        <f>88046018+1811428.57</f>
        <v>89857446.569999993</v>
      </c>
      <c r="X158" s="118">
        <v>86830405.569999993</v>
      </c>
      <c r="Y158" s="118">
        <v>86830405.569999993</v>
      </c>
      <c r="Z158" s="118"/>
      <c r="AA158" s="118"/>
      <c r="AB158" s="118"/>
      <c r="AC158" s="118"/>
      <c r="AD158" s="118">
        <v>2620730</v>
      </c>
      <c r="AE158" s="118">
        <v>2602823.08</v>
      </c>
      <c r="AF158" s="118">
        <v>2602823.08</v>
      </c>
      <c r="AG158" s="138"/>
      <c r="AH158" s="138"/>
      <c r="AI158" s="138"/>
      <c r="AJ158" s="110"/>
      <c r="AK158" s="110">
        <v>674537.76</v>
      </c>
      <c r="AL158" s="110">
        <v>674537.76</v>
      </c>
      <c r="AM158" s="135">
        <f>12318965.3+600</f>
        <v>12319565.300000001</v>
      </c>
      <c r="AN158" s="131">
        <v>3.6347200886365436E-2</v>
      </c>
      <c r="AO158" s="141">
        <v>10071457.792787051</v>
      </c>
      <c r="AP158" s="135">
        <v>10071457.792787051</v>
      </c>
    </row>
    <row r="159" spans="1:46" ht="110.1" customHeight="1" x14ac:dyDescent="0.25">
      <c r="A159" s="203"/>
      <c r="B159" s="215"/>
      <c r="C159" s="174">
        <v>15</v>
      </c>
      <c r="D159" s="89" t="s">
        <v>38</v>
      </c>
      <c r="E159" s="113">
        <v>1131</v>
      </c>
      <c r="F159" s="114">
        <f t="shared" si="61"/>
        <v>71875.283731211312</v>
      </c>
      <c r="G159" s="114">
        <f t="shared" si="53"/>
        <v>71875.283731211312</v>
      </c>
      <c r="H159" s="114">
        <f t="shared" si="54"/>
        <v>71875.283731211312</v>
      </c>
      <c r="I159" s="114">
        <f t="shared" si="55"/>
        <v>81290945.899999991</v>
      </c>
      <c r="J159" s="114">
        <f t="shared" si="56"/>
        <v>81290945.899999991</v>
      </c>
      <c r="K159" s="114">
        <f t="shared" si="50"/>
        <v>81290945.899999991</v>
      </c>
      <c r="L159" s="115">
        <v>2716740</v>
      </c>
      <c r="M159" s="115">
        <f t="shared" si="51"/>
        <v>1.6978322974856865</v>
      </c>
      <c r="N159" s="115">
        <f t="shared" si="59"/>
        <v>2716740</v>
      </c>
      <c r="O159" s="115">
        <f t="shared" si="57"/>
        <v>2716740</v>
      </c>
      <c r="P159" s="116">
        <f t="shared" si="58"/>
        <v>84007685.899999991</v>
      </c>
      <c r="Q159" s="116">
        <f t="shared" si="52"/>
        <v>2.9448783993753449</v>
      </c>
      <c r="R159" s="117">
        <f t="shared" si="40"/>
        <v>84007685.899999991</v>
      </c>
      <c r="S159" s="117"/>
      <c r="T159" s="117">
        <f t="shared" si="41"/>
        <v>84007685.899999991</v>
      </c>
      <c r="U159" s="105"/>
      <c r="V159" s="105"/>
      <c r="W159" s="118">
        <f>72881537+1811428.57</f>
        <v>74692965.569999993</v>
      </c>
      <c r="X159" s="118">
        <v>67927101.349999994</v>
      </c>
      <c r="Y159" s="118">
        <v>67927101.349999994</v>
      </c>
      <c r="Z159" s="118"/>
      <c r="AA159" s="118"/>
      <c r="AB159" s="118"/>
      <c r="AC159" s="118"/>
      <c r="AD159" s="118">
        <v>2302020</v>
      </c>
      <c r="AE159" s="118">
        <v>2133662.1800000002</v>
      </c>
      <c r="AF159" s="118">
        <v>2133662.1800000002</v>
      </c>
      <c r="AG159" s="138"/>
      <c r="AH159" s="138"/>
      <c r="AI159" s="138"/>
      <c r="AJ159" s="110"/>
      <c r="AK159" s="110">
        <v>545370.94999999995</v>
      </c>
      <c r="AL159" s="110">
        <v>545370.94999999995</v>
      </c>
      <c r="AM159" s="135">
        <f>7009700.33+3000</f>
        <v>7012700.3300000001</v>
      </c>
      <c r="AN159" s="131">
        <v>2.1698938475026953E-2</v>
      </c>
      <c r="AO159" s="141">
        <v>6040995.278958763</v>
      </c>
      <c r="AP159" s="135">
        <v>6040995.278958763</v>
      </c>
    </row>
    <row r="160" spans="1:46" ht="149.25" customHeight="1" x14ac:dyDescent="0.25">
      <c r="A160" s="203"/>
      <c r="B160" s="215"/>
      <c r="C160" s="174">
        <f t="shared" ref="C160:C188" si="62">C159+1</f>
        <v>16</v>
      </c>
      <c r="D160" s="89" t="s">
        <v>178</v>
      </c>
      <c r="E160" s="113">
        <v>1188</v>
      </c>
      <c r="F160" s="114">
        <f t="shared" si="61"/>
        <v>66338.391363636358</v>
      </c>
      <c r="G160" s="114">
        <f t="shared" si="53"/>
        <v>66338.391363636358</v>
      </c>
      <c r="H160" s="114">
        <f t="shared" si="54"/>
        <v>66338.391363636358</v>
      </c>
      <c r="I160" s="114">
        <f t="shared" si="55"/>
        <v>78810008.939999998</v>
      </c>
      <c r="J160" s="114">
        <f t="shared" si="56"/>
        <v>78810008.939999998</v>
      </c>
      <c r="K160" s="114">
        <f t="shared" si="50"/>
        <v>78810008.939999998</v>
      </c>
      <c r="L160" s="115">
        <v>2880290</v>
      </c>
      <c r="M160" s="115">
        <f t="shared" si="51"/>
        <v>1.8000432091863954</v>
      </c>
      <c r="N160" s="115">
        <f t="shared" si="59"/>
        <v>2880290</v>
      </c>
      <c r="O160" s="115">
        <f t="shared" si="57"/>
        <v>2880290</v>
      </c>
      <c r="P160" s="116">
        <f t="shared" si="58"/>
        <v>81690298.939999998</v>
      </c>
      <c r="Q160" s="116">
        <f t="shared" si="52"/>
        <v>2.8636427037555223</v>
      </c>
      <c r="R160" s="117">
        <f t="shared" si="40"/>
        <v>81690298.939999998</v>
      </c>
      <c r="S160" s="117"/>
      <c r="T160" s="117">
        <f t="shared" si="41"/>
        <v>81690298.939999998</v>
      </c>
      <c r="U160" s="105"/>
      <c r="V160" s="105"/>
      <c r="W160" s="118">
        <f>71237859+1811428.57</f>
        <v>73049287.569999993</v>
      </c>
      <c r="X160" s="118">
        <v>65597115.32</v>
      </c>
      <c r="Y160" s="118">
        <v>65597115.32</v>
      </c>
      <c r="Z160" s="118"/>
      <c r="AA160" s="118"/>
      <c r="AB160" s="118"/>
      <c r="AC160" s="118"/>
      <c r="AD160" s="118">
        <v>2456300</v>
      </c>
      <c r="AE160" s="118">
        <v>2319286.71</v>
      </c>
      <c r="AF160" s="118">
        <v>2319286.71</v>
      </c>
      <c r="AG160" s="138"/>
      <c r="AH160" s="138"/>
      <c r="AI160" s="138"/>
      <c r="AJ160" s="110"/>
      <c r="AK160" s="110">
        <v>588426.56000000006</v>
      </c>
      <c r="AL160" s="110">
        <v>588426.56000000006</v>
      </c>
      <c r="AM160" s="135">
        <f>6182911.37+1800</f>
        <v>6184711.3700000001</v>
      </c>
      <c r="AN160" s="131">
        <v>2.0821731435784842E-2</v>
      </c>
      <c r="AO160" s="141">
        <v>5769588.0791350286</v>
      </c>
      <c r="AP160" s="135">
        <v>5769588.0791350286</v>
      </c>
    </row>
    <row r="161" spans="1:42" ht="158.25" customHeight="1" x14ac:dyDescent="0.25">
      <c r="A161" s="203"/>
      <c r="B161" s="215"/>
      <c r="C161" s="174">
        <v>17</v>
      </c>
      <c r="D161" s="89" t="s">
        <v>188</v>
      </c>
      <c r="E161" s="113">
        <v>1691</v>
      </c>
      <c r="F161" s="114">
        <f t="shared" si="61"/>
        <v>65614.598426966288</v>
      </c>
      <c r="G161" s="114">
        <f t="shared" si="53"/>
        <v>65614.598426966288</v>
      </c>
      <c r="H161" s="114">
        <f t="shared" si="54"/>
        <v>65614.598426966288</v>
      </c>
      <c r="I161" s="114">
        <f t="shared" si="55"/>
        <v>110954285.94</v>
      </c>
      <c r="J161" s="114">
        <f t="shared" si="56"/>
        <v>110954285.94</v>
      </c>
      <c r="K161" s="114">
        <f t="shared" si="50"/>
        <v>110954285.94</v>
      </c>
      <c r="L161" s="115">
        <v>8866450</v>
      </c>
      <c r="M161" s="115">
        <f t="shared" si="51"/>
        <v>5.5411063164093601</v>
      </c>
      <c r="N161" s="115">
        <f t="shared" si="59"/>
        <v>8866450</v>
      </c>
      <c r="O161" s="115">
        <f t="shared" si="57"/>
        <v>8866450</v>
      </c>
      <c r="P161" s="116">
        <f t="shared" si="58"/>
        <v>119820735.94</v>
      </c>
      <c r="Q161" s="116">
        <f t="shared" si="52"/>
        <v>4.2003001664275468</v>
      </c>
      <c r="R161" s="117">
        <f t="shared" si="40"/>
        <v>119820735.94</v>
      </c>
      <c r="S161" s="117"/>
      <c r="T161" s="117">
        <f t="shared" si="41"/>
        <v>119820735.94</v>
      </c>
      <c r="U161" s="105"/>
      <c r="V161" s="105"/>
      <c r="W161" s="118">
        <f>92724171+1811428.57</f>
        <v>94535599.569999993</v>
      </c>
      <c r="X161" s="118">
        <v>78970964.900000006</v>
      </c>
      <c r="Y161" s="118">
        <v>78970964.900000006</v>
      </c>
      <c r="Z161" s="118"/>
      <c r="AA161" s="118"/>
      <c r="AB161" s="118"/>
      <c r="AC161" s="118"/>
      <c r="AD161" s="118">
        <v>3522500</v>
      </c>
      <c r="AE161" s="118">
        <v>3243329.7</v>
      </c>
      <c r="AF161" s="118">
        <v>3243329.7</v>
      </c>
      <c r="AG161" s="138"/>
      <c r="AH161" s="138"/>
      <c r="AI161" s="138"/>
      <c r="AJ161" s="110"/>
      <c r="AK161" s="110">
        <v>832408.3</v>
      </c>
      <c r="AL161" s="110">
        <v>832408.3</v>
      </c>
      <c r="AM161" s="135">
        <f>21760236.37+2400</f>
        <v>21762636.370000001</v>
      </c>
      <c r="AN161" s="131">
        <v>7.6061158982371382E-2</v>
      </c>
      <c r="AO161" s="141">
        <v>21075802.275198452</v>
      </c>
      <c r="AP161" s="135">
        <v>21075802.275198452</v>
      </c>
    </row>
    <row r="162" spans="1:42" ht="141" customHeight="1" x14ac:dyDescent="0.25">
      <c r="A162" s="203"/>
      <c r="B162" s="215"/>
      <c r="C162" s="174">
        <v>18</v>
      </c>
      <c r="D162" s="89" t="s">
        <v>189</v>
      </c>
      <c r="E162" s="113">
        <v>775</v>
      </c>
      <c r="F162" s="114">
        <f t="shared" si="61"/>
        <v>93569.294787096762</v>
      </c>
      <c r="G162" s="114">
        <f t="shared" si="53"/>
        <v>93569.294787096762</v>
      </c>
      <c r="H162" s="114">
        <f t="shared" si="54"/>
        <v>93569.294787096762</v>
      </c>
      <c r="I162" s="114">
        <f t="shared" si="55"/>
        <v>72516203.459999993</v>
      </c>
      <c r="J162" s="114">
        <f t="shared" si="56"/>
        <v>72516203.459999993</v>
      </c>
      <c r="K162" s="114">
        <f t="shared" si="50"/>
        <v>72516203.459999993</v>
      </c>
      <c r="L162" s="115">
        <v>2533410</v>
      </c>
      <c r="M162" s="115">
        <f t="shared" si="51"/>
        <v>1.5832598337614985</v>
      </c>
      <c r="N162" s="115">
        <f t="shared" si="59"/>
        <v>2533410</v>
      </c>
      <c r="O162" s="115">
        <f t="shared" si="57"/>
        <v>2533410</v>
      </c>
      <c r="P162" s="116">
        <f t="shared" si="58"/>
        <v>75049613.459999993</v>
      </c>
      <c r="Q162" s="116">
        <f t="shared" si="52"/>
        <v>2.6308543461476677</v>
      </c>
      <c r="R162" s="117">
        <f t="shared" si="40"/>
        <v>75049613.459999993</v>
      </c>
      <c r="S162" s="117"/>
      <c r="T162" s="117">
        <f t="shared" si="41"/>
        <v>75049613.459999993</v>
      </c>
      <c r="U162" s="105"/>
      <c r="V162" s="105"/>
      <c r="W162" s="118">
        <v>67565380</v>
      </c>
      <c r="X162" s="118">
        <v>57211245.810000002</v>
      </c>
      <c r="Y162" s="118">
        <v>57211245.810000002</v>
      </c>
      <c r="Z162" s="118"/>
      <c r="AA162" s="118"/>
      <c r="AB162" s="118"/>
      <c r="AC162" s="118"/>
      <c r="AD162" s="118">
        <v>1587460</v>
      </c>
      <c r="AE162" s="118">
        <v>1507434.37</v>
      </c>
      <c r="AF162" s="118">
        <v>1507434.37</v>
      </c>
      <c r="AG162" s="138"/>
      <c r="AH162" s="138"/>
      <c r="AI162" s="138"/>
      <c r="AJ162" s="110"/>
      <c r="AK162" s="110">
        <v>444907.88</v>
      </c>
      <c r="AL162" s="110">
        <v>444907.88</v>
      </c>
      <c r="AM162" s="135">
        <f>5894973.46+1800</f>
        <v>5896773.46</v>
      </c>
      <c r="AN162" s="131">
        <v>1.8122978983142721E-2</v>
      </c>
      <c r="AO162" s="141">
        <v>5021665.508303429</v>
      </c>
      <c r="AP162" s="135">
        <v>5021665.508303429</v>
      </c>
    </row>
    <row r="163" spans="1:42" ht="184.5" customHeight="1" x14ac:dyDescent="0.25">
      <c r="A163" s="203"/>
      <c r="B163" s="215"/>
      <c r="C163" s="174">
        <v>19</v>
      </c>
      <c r="D163" s="89" t="s">
        <v>235</v>
      </c>
      <c r="E163" s="137">
        <v>1180</v>
      </c>
      <c r="F163" s="114">
        <f t="shared" si="61"/>
        <v>108115.49988983051</v>
      </c>
      <c r="G163" s="114">
        <f t="shared" si="53"/>
        <v>108115.49988983051</v>
      </c>
      <c r="H163" s="114">
        <f t="shared" si="54"/>
        <v>108115.49988983051</v>
      </c>
      <c r="I163" s="114">
        <f t="shared" si="55"/>
        <v>127576289.87</v>
      </c>
      <c r="J163" s="114">
        <f t="shared" si="56"/>
        <v>127576289.87</v>
      </c>
      <c r="K163" s="114">
        <f t="shared" si="50"/>
        <v>127576289.87</v>
      </c>
      <c r="L163" s="115">
        <v>6439830</v>
      </c>
      <c r="M163" s="115">
        <f t="shared" si="51"/>
        <v>4.0245851146290219</v>
      </c>
      <c r="N163" s="115">
        <f t="shared" si="59"/>
        <v>6439830</v>
      </c>
      <c r="O163" s="115">
        <f t="shared" si="57"/>
        <v>6439830</v>
      </c>
      <c r="P163" s="116">
        <f t="shared" si="58"/>
        <v>134016119.87</v>
      </c>
      <c r="Q163" s="116">
        <f t="shared" si="52"/>
        <v>4.6979174863006197</v>
      </c>
      <c r="R163" s="117">
        <f t="shared" si="40"/>
        <v>134016119.87</v>
      </c>
      <c r="S163" s="117"/>
      <c r="T163" s="117">
        <f t="shared" si="41"/>
        <v>134016119.87</v>
      </c>
      <c r="U163" s="105"/>
      <c r="V163" s="105"/>
      <c r="W163" s="118">
        <v>118161295</v>
      </c>
      <c r="X163" s="118">
        <v>100095428.83</v>
      </c>
      <c r="Y163" s="118">
        <v>100095428.83</v>
      </c>
      <c r="Z163" s="118"/>
      <c r="AA163" s="118"/>
      <c r="AB163" s="118"/>
      <c r="AC163" s="118"/>
      <c r="AD163" s="118">
        <v>2421790</v>
      </c>
      <c r="AE163" s="118">
        <v>2335605.35</v>
      </c>
      <c r="AF163" s="118">
        <v>2335605.35</v>
      </c>
      <c r="AG163" s="138"/>
      <c r="AH163" s="138"/>
      <c r="AI163" s="138"/>
      <c r="AJ163" s="110"/>
      <c r="AK163" s="110">
        <v>731945.23</v>
      </c>
      <c r="AL163" s="110">
        <v>731945.23</v>
      </c>
      <c r="AM163" s="135">
        <f>13430634.87+2400</f>
        <v>13433034.869999999</v>
      </c>
      <c r="AN163" s="131">
        <v>4.3467357385402923E-2</v>
      </c>
      <c r="AO163" s="141">
        <v>12044365.943324856</v>
      </c>
      <c r="AP163" s="135">
        <v>12044365.943324856</v>
      </c>
    </row>
    <row r="164" spans="1:42" ht="168.75" customHeight="1" x14ac:dyDescent="0.25">
      <c r="A164" s="203"/>
      <c r="B164" s="215"/>
      <c r="C164" s="174">
        <v>20</v>
      </c>
      <c r="D164" s="89" t="s">
        <v>192</v>
      </c>
      <c r="E164" s="137">
        <v>358</v>
      </c>
      <c r="F164" s="114">
        <f t="shared" si="61"/>
        <v>112006.3839385475</v>
      </c>
      <c r="G164" s="114">
        <f t="shared" si="53"/>
        <v>112006.3839385475</v>
      </c>
      <c r="H164" s="114">
        <f t="shared" si="54"/>
        <v>112006.3839385475</v>
      </c>
      <c r="I164" s="114">
        <f t="shared" si="55"/>
        <v>40098285.450000003</v>
      </c>
      <c r="J164" s="114">
        <f t="shared" si="56"/>
        <v>40098285.450000003</v>
      </c>
      <c r="K164" s="114">
        <f t="shared" si="50"/>
        <v>40098285.450000003</v>
      </c>
      <c r="L164" s="115">
        <v>1988830</v>
      </c>
      <c r="M164" s="115">
        <f t="shared" si="51"/>
        <v>1.2429234333092081</v>
      </c>
      <c r="N164" s="115">
        <f t="shared" si="59"/>
        <v>1988830</v>
      </c>
      <c r="O164" s="115">
        <f t="shared" si="57"/>
        <v>1988830</v>
      </c>
      <c r="P164" s="116">
        <f t="shared" si="58"/>
        <v>42087115.450000003</v>
      </c>
      <c r="Q164" s="116">
        <f t="shared" si="52"/>
        <v>1.4753583062418503</v>
      </c>
      <c r="R164" s="117">
        <f t="shared" si="40"/>
        <v>42087115.450000003</v>
      </c>
      <c r="S164" s="117"/>
      <c r="T164" s="117">
        <f t="shared" si="41"/>
        <v>42087115.450000003</v>
      </c>
      <c r="U164" s="105"/>
      <c r="V164" s="105"/>
      <c r="W164" s="118">
        <v>37861238</v>
      </c>
      <c r="X164" s="118">
        <v>33108245.170000002</v>
      </c>
      <c r="Y164" s="118">
        <v>33108245.170000002</v>
      </c>
      <c r="Z164" s="118"/>
      <c r="AA164" s="118"/>
      <c r="AB164" s="118"/>
      <c r="AC164" s="118"/>
      <c r="AD164" s="118">
        <v>751100</v>
      </c>
      <c r="AE164" s="118">
        <v>705781.18</v>
      </c>
      <c r="AF164" s="118">
        <v>705781.18</v>
      </c>
      <c r="AG164" s="138"/>
      <c r="AH164" s="138"/>
      <c r="AI164" s="138"/>
      <c r="AJ164" s="110"/>
      <c r="AK164" s="110">
        <v>258333.61</v>
      </c>
      <c r="AL164" s="110">
        <v>258333.61</v>
      </c>
      <c r="AM164" s="135">
        <f>3471777.45+3000</f>
        <v>3474777.45</v>
      </c>
      <c r="AN164" s="131">
        <v>1.5566826852574054E-2</v>
      </c>
      <c r="AO164" s="141">
        <v>4313444.6521444283</v>
      </c>
      <c r="AP164" s="135">
        <v>4313444.6521444283</v>
      </c>
    </row>
    <row r="165" spans="1:42" ht="110.1" customHeight="1" x14ac:dyDescent="0.25">
      <c r="A165" s="203"/>
      <c r="B165" s="215"/>
      <c r="C165" s="174">
        <f t="shared" si="62"/>
        <v>21</v>
      </c>
      <c r="D165" s="89" t="s">
        <v>179</v>
      </c>
      <c r="E165" s="137">
        <v>615</v>
      </c>
      <c r="F165" s="114">
        <f t="shared" si="61"/>
        <v>64824.125203252035</v>
      </c>
      <c r="G165" s="114">
        <f t="shared" si="53"/>
        <v>64824.125203252035</v>
      </c>
      <c r="H165" s="114">
        <f t="shared" si="54"/>
        <v>64824.125203252035</v>
      </c>
      <c r="I165" s="114">
        <f t="shared" si="55"/>
        <v>39866837</v>
      </c>
      <c r="J165" s="114">
        <f t="shared" si="56"/>
        <v>39866837</v>
      </c>
      <c r="K165" s="114">
        <f t="shared" si="50"/>
        <v>39866837</v>
      </c>
      <c r="L165" s="115">
        <v>2375240</v>
      </c>
      <c r="M165" s="115">
        <f t="shared" si="51"/>
        <v>1.484411164218844</v>
      </c>
      <c r="N165" s="115">
        <f t="shared" si="59"/>
        <v>2375240</v>
      </c>
      <c r="O165" s="115">
        <f t="shared" si="57"/>
        <v>2375240</v>
      </c>
      <c r="P165" s="116">
        <f t="shared" si="58"/>
        <v>42242077</v>
      </c>
      <c r="Q165" s="116">
        <f t="shared" si="52"/>
        <v>1.4807904630313127</v>
      </c>
      <c r="R165" s="117">
        <f t="shared" si="40"/>
        <v>42242077</v>
      </c>
      <c r="S165" s="117"/>
      <c r="T165" s="117">
        <f t="shared" si="41"/>
        <v>42242077</v>
      </c>
      <c r="U165" s="105"/>
      <c r="V165" s="105"/>
      <c r="W165" s="118">
        <v>36069434</v>
      </c>
      <c r="X165" s="118">
        <v>31183154.640000001</v>
      </c>
      <c r="Y165" s="118">
        <v>31183154.640000001</v>
      </c>
      <c r="Z165" s="118"/>
      <c r="AA165" s="118"/>
      <c r="AB165" s="118"/>
      <c r="AC165" s="118"/>
      <c r="AD165" s="118">
        <v>1329650</v>
      </c>
      <c r="AE165" s="118">
        <v>1148424.29</v>
      </c>
      <c r="AF165" s="118">
        <v>1148424.29</v>
      </c>
      <c r="AG165" s="138"/>
      <c r="AH165" s="138"/>
      <c r="AI165" s="138"/>
      <c r="AJ165" s="110"/>
      <c r="AK165" s="110">
        <v>315741.08</v>
      </c>
      <c r="AL165" s="110">
        <v>315741.08</v>
      </c>
      <c r="AM165" s="135">
        <f>4841193+1800</f>
        <v>4842993</v>
      </c>
      <c r="AN165" s="131">
        <v>1.7007553308418272E-2</v>
      </c>
      <c r="AO165" s="141">
        <v>4712628.5140863452</v>
      </c>
      <c r="AP165" s="135">
        <v>4712628.5140863452</v>
      </c>
    </row>
    <row r="166" spans="1:42" ht="110.1" customHeight="1" x14ac:dyDescent="0.25">
      <c r="A166" s="203"/>
      <c r="B166" s="215"/>
      <c r="C166" s="174">
        <f t="shared" si="62"/>
        <v>22</v>
      </c>
      <c r="D166" s="89" t="s">
        <v>46</v>
      </c>
      <c r="E166" s="113">
        <v>1655</v>
      </c>
      <c r="F166" s="114">
        <f t="shared" si="61"/>
        <v>56954.923728096677</v>
      </c>
      <c r="G166" s="114">
        <f t="shared" si="53"/>
        <v>56954.923728096677</v>
      </c>
      <c r="H166" s="114">
        <f t="shared" si="54"/>
        <v>56954.923728096677</v>
      </c>
      <c r="I166" s="114">
        <f t="shared" si="55"/>
        <v>94260398.769999996</v>
      </c>
      <c r="J166" s="114">
        <f t="shared" si="56"/>
        <v>94260398.769999996</v>
      </c>
      <c r="K166" s="114">
        <f t="shared" si="50"/>
        <v>94260398.769999996</v>
      </c>
      <c r="L166" s="115">
        <v>11330360</v>
      </c>
      <c r="M166" s="115">
        <f t="shared" si="51"/>
        <v>7.0809319810287059</v>
      </c>
      <c r="N166" s="115">
        <f t="shared" si="59"/>
        <v>11330360</v>
      </c>
      <c r="O166" s="115">
        <f t="shared" si="57"/>
        <v>11330360</v>
      </c>
      <c r="P166" s="116">
        <f t="shared" si="58"/>
        <v>105590758.77</v>
      </c>
      <c r="Q166" s="116">
        <f t="shared" si="52"/>
        <v>3.701470185068219</v>
      </c>
      <c r="R166" s="117">
        <f t="shared" si="40"/>
        <v>105590758.77</v>
      </c>
      <c r="S166" s="117"/>
      <c r="T166" s="117">
        <f t="shared" si="41"/>
        <v>105590758.77</v>
      </c>
      <c r="U166" s="105"/>
      <c r="V166" s="105"/>
      <c r="W166" s="118">
        <f>84557351+1811428.57</f>
        <v>86368779.569999993</v>
      </c>
      <c r="X166" s="118">
        <v>73862997.290000007</v>
      </c>
      <c r="Y166" s="118">
        <v>73862997.290000007</v>
      </c>
      <c r="Z166" s="118"/>
      <c r="AA166" s="118"/>
      <c r="AB166" s="118"/>
      <c r="AC166" s="118"/>
      <c r="AD166" s="118">
        <v>3404310</v>
      </c>
      <c r="AE166" s="118">
        <v>3147457.69</v>
      </c>
      <c r="AF166" s="118">
        <v>3147457.69</v>
      </c>
      <c r="AG166" s="138"/>
      <c r="AH166" s="138"/>
      <c r="AI166" s="138"/>
      <c r="AJ166" s="110"/>
      <c r="AK166" s="110">
        <v>760648.96</v>
      </c>
      <c r="AL166" s="110">
        <v>760648.96</v>
      </c>
      <c r="AM166" s="135">
        <v>15817669.199999999</v>
      </c>
      <c r="AN166" s="131">
        <v>5.4393321273643505E-2</v>
      </c>
      <c r="AO166" s="141">
        <v>15071854.030967245</v>
      </c>
      <c r="AP166" s="135">
        <v>15071854.030967245</v>
      </c>
    </row>
    <row r="167" spans="1:42" ht="110.1" customHeight="1" x14ac:dyDescent="0.25">
      <c r="A167" s="203"/>
      <c r="B167" s="215"/>
      <c r="C167" s="174">
        <f t="shared" si="62"/>
        <v>23</v>
      </c>
      <c r="D167" s="89" t="s">
        <v>180</v>
      </c>
      <c r="E167" s="113">
        <v>1151</v>
      </c>
      <c r="F167" s="114">
        <f t="shared" si="61"/>
        <v>51292.659609035625</v>
      </c>
      <c r="G167" s="114">
        <f t="shared" si="53"/>
        <v>51292.659609035625</v>
      </c>
      <c r="H167" s="114">
        <f t="shared" si="54"/>
        <v>51292.659609035625</v>
      </c>
      <c r="I167" s="114">
        <f t="shared" si="55"/>
        <v>59037851.210000001</v>
      </c>
      <c r="J167" s="114">
        <f t="shared" si="56"/>
        <v>59037851.210000001</v>
      </c>
      <c r="K167" s="114">
        <f t="shared" si="50"/>
        <v>59037851.210000001</v>
      </c>
      <c r="L167" s="115">
        <v>2639760</v>
      </c>
      <c r="M167" s="115">
        <f t="shared" si="51"/>
        <v>1.6497234868301038</v>
      </c>
      <c r="N167" s="115">
        <f t="shared" si="59"/>
        <v>2639760</v>
      </c>
      <c r="O167" s="115">
        <f t="shared" si="57"/>
        <v>2639760</v>
      </c>
      <c r="P167" s="116">
        <f t="shared" si="58"/>
        <v>61677611.210000001</v>
      </c>
      <c r="Q167" s="116">
        <f t="shared" si="52"/>
        <v>2.1621005629605095</v>
      </c>
      <c r="R167" s="117">
        <f t="shared" si="40"/>
        <v>61677611.210000001</v>
      </c>
      <c r="S167" s="117"/>
      <c r="T167" s="117">
        <f t="shared" si="41"/>
        <v>61677611.210000001</v>
      </c>
      <c r="U167" s="105"/>
      <c r="V167" s="105"/>
      <c r="W167" s="118">
        <v>53533964</v>
      </c>
      <c r="X167" s="118">
        <v>43306875.259999998</v>
      </c>
      <c r="Y167" s="118">
        <v>43306875.259999998</v>
      </c>
      <c r="Z167" s="118"/>
      <c r="AA167" s="118"/>
      <c r="AB167" s="118"/>
      <c r="AC167" s="118"/>
      <c r="AD167" s="118">
        <v>2409610</v>
      </c>
      <c r="AE167" s="118">
        <v>2143861.33</v>
      </c>
      <c r="AF167" s="118">
        <v>2143861.33</v>
      </c>
      <c r="AG167" s="138"/>
      <c r="AH167" s="138"/>
      <c r="AI167" s="138"/>
      <c r="AJ167" s="110"/>
      <c r="AK167" s="110">
        <v>559722.81999999995</v>
      </c>
      <c r="AL167" s="110">
        <v>559722.81999999995</v>
      </c>
      <c r="AM167" s="135">
        <f>5731637.21+2400</f>
        <v>5734037.21</v>
      </c>
      <c r="AN167" s="131">
        <v>1.8848420900029628E-2</v>
      </c>
      <c r="AO167" s="141">
        <v>5222669.2787567042</v>
      </c>
      <c r="AP167" s="135">
        <v>5222669.2787567042</v>
      </c>
    </row>
    <row r="168" spans="1:42" ht="110.1" customHeight="1" x14ac:dyDescent="0.25">
      <c r="A168" s="203"/>
      <c r="B168" s="215"/>
      <c r="C168" s="174">
        <f t="shared" si="62"/>
        <v>24</v>
      </c>
      <c r="D168" s="89" t="s">
        <v>48</v>
      </c>
      <c r="E168" s="113">
        <v>1265</v>
      </c>
      <c r="F168" s="114">
        <f t="shared" si="61"/>
        <v>58717.78704347826</v>
      </c>
      <c r="G168" s="114">
        <f t="shared" si="53"/>
        <v>58717.78704347826</v>
      </c>
      <c r="H168" s="114">
        <f t="shared" si="54"/>
        <v>58717.78704347826</v>
      </c>
      <c r="I168" s="114">
        <f t="shared" si="55"/>
        <v>74278000.609999999</v>
      </c>
      <c r="J168" s="114">
        <f t="shared" si="56"/>
        <v>74278000.609999999</v>
      </c>
      <c r="K168" s="114">
        <f t="shared" si="50"/>
        <v>74278000.609999999</v>
      </c>
      <c r="L168" s="115">
        <v>2838260</v>
      </c>
      <c r="M168" s="115">
        <f t="shared" si="51"/>
        <v>1.7737764735166872</v>
      </c>
      <c r="N168" s="115">
        <f t="shared" si="59"/>
        <v>2838260</v>
      </c>
      <c r="O168" s="115">
        <f t="shared" si="57"/>
        <v>2838260</v>
      </c>
      <c r="P168" s="116">
        <f t="shared" si="58"/>
        <v>77116260.609999999</v>
      </c>
      <c r="Q168" s="116">
        <f t="shared" si="52"/>
        <v>2.7033003906490034</v>
      </c>
      <c r="R168" s="117">
        <f t="shared" si="40"/>
        <v>77116260.609999999</v>
      </c>
      <c r="S168" s="117"/>
      <c r="T168" s="117">
        <f t="shared" si="41"/>
        <v>77116260.609999999</v>
      </c>
      <c r="U168" s="105"/>
      <c r="V168" s="105"/>
      <c r="W168" s="118">
        <v>68332525</v>
      </c>
      <c r="X168" s="118">
        <v>71737595.859999999</v>
      </c>
      <c r="Y168" s="118">
        <v>71737595.859999999</v>
      </c>
      <c r="Z168" s="118"/>
      <c r="AA168" s="118"/>
      <c r="AB168" s="118"/>
      <c r="AC168" s="118"/>
      <c r="AD168" s="118">
        <v>2574040</v>
      </c>
      <c r="AE168" s="118">
        <v>2468194.2999999998</v>
      </c>
      <c r="AF168" s="118">
        <v>2468194.2999999998</v>
      </c>
      <c r="AG168" s="138"/>
      <c r="AH168" s="138"/>
      <c r="AI168" s="138"/>
      <c r="AJ168" s="110"/>
      <c r="AK168" s="110">
        <v>588426.56000000006</v>
      </c>
      <c r="AL168" s="110">
        <v>588426.56000000006</v>
      </c>
      <c r="AM168" s="135">
        <v>6209695.6100000003</v>
      </c>
      <c r="AN168" s="131">
        <v>2.2289687605101555E-2</v>
      </c>
      <c r="AO168" s="141">
        <v>6176229.3322292799</v>
      </c>
      <c r="AP168" s="135">
        <v>6176229.3322292799</v>
      </c>
    </row>
    <row r="169" spans="1:42" ht="110.1" customHeight="1" x14ac:dyDescent="0.25">
      <c r="A169" s="203"/>
      <c r="B169" s="215"/>
      <c r="C169" s="174">
        <f t="shared" si="62"/>
        <v>25</v>
      </c>
      <c r="D169" s="89" t="s">
        <v>41</v>
      </c>
      <c r="E169" s="113">
        <v>1646</v>
      </c>
      <c r="F169" s="114">
        <f t="shared" si="61"/>
        <v>56686.587174969623</v>
      </c>
      <c r="G169" s="114">
        <f t="shared" si="53"/>
        <v>56686.587174969623</v>
      </c>
      <c r="H169" s="114">
        <f t="shared" si="54"/>
        <v>56686.587174969623</v>
      </c>
      <c r="I169" s="114">
        <f t="shared" si="55"/>
        <v>93306122.489999995</v>
      </c>
      <c r="J169" s="114">
        <f t="shared" si="56"/>
        <v>93306122.489999995</v>
      </c>
      <c r="K169" s="114">
        <f t="shared" si="50"/>
        <v>93306122.489999995</v>
      </c>
      <c r="L169" s="115">
        <v>4642200</v>
      </c>
      <c r="M169" s="115">
        <f t="shared" si="51"/>
        <v>2.901152517866286</v>
      </c>
      <c r="N169" s="115">
        <f t="shared" si="59"/>
        <v>4642200</v>
      </c>
      <c r="O169" s="115">
        <f t="shared" si="57"/>
        <v>4642200</v>
      </c>
      <c r="P169" s="116">
        <f t="shared" si="58"/>
        <v>97948322.489999995</v>
      </c>
      <c r="Q169" s="116">
        <f t="shared" si="52"/>
        <v>3.4335655846919515</v>
      </c>
      <c r="R169" s="117">
        <f t="shared" si="40"/>
        <v>97948322.489999995</v>
      </c>
      <c r="S169" s="117"/>
      <c r="T169" s="117">
        <f t="shared" si="41"/>
        <v>97948322.489999995</v>
      </c>
      <c r="U169" s="105"/>
      <c r="V169" s="105"/>
      <c r="W169" s="118">
        <f>82565427+1811428.57</f>
        <v>84376855.569999993</v>
      </c>
      <c r="X169" s="118">
        <v>68936856.819999993</v>
      </c>
      <c r="Y169" s="118">
        <v>68936856.819999993</v>
      </c>
      <c r="Z169" s="118"/>
      <c r="AA169" s="118"/>
      <c r="AB169" s="118"/>
      <c r="AC169" s="118"/>
      <c r="AD169" s="118">
        <v>3319050</v>
      </c>
      <c r="AE169" s="118">
        <v>3067904.32</v>
      </c>
      <c r="AF169" s="118">
        <v>3067904.32</v>
      </c>
      <c r="AG169" s="138"/>
      <c r="AH169" s="138"/>
      <c r="AI169" s="138"/>
      <c r="AJ169" s="110"/>
      <c r="AK169" s="110">
        <v>760648.96</v>
      </c>
      <c r="AL169" s="110">
        <v>760648.96</v>
      </c>
      <c r="AM169" s="135">
        <v>10252416.92</v>
      </c>
      <c r="AN169" s="131">
        <v>3.3748202487331541E-2</v>
      </c>
      <c r="AO169" s="141">
        <v>9351309.6433391217</v>
      </c>
      <c r="AP169" s="135">
        <v>9351309.6433391217</v>
      </c>
    </row>
    <row r="170" spans="1:42" ht="110.1" customHeight="1" x14ac:dyDescent="0.25">
      <c r="A170" s="203"/>
      <c r="B170" s="215"/>
      <c r="C170" s="174">
        <f t="shared" si="62"/>
        <v>26</v>
      </c>
      <c r="D170" s="89" t="s">
        <v>184</v>
      </c>
      <c r="E170" s="113">
        <v>342</v>
      </c>
      <c r="F170" s="114">
        <f t="shared" si="61"/>
        <v>82097.570000000007</v>
      </c>
      <c r="G170" s="114">
        <f t="shared" si="53"/>
        <v>82097.570000000007</v>
      </c>
      <c r="H170" s="114">
        <f t="shared" si="54"/>
        <v>82097.570000000007</v>
      </c>
      <c r="I170" s="114">
        <f t="shared" si="55"/>
        <v>28077368.940000001</v>
      </c>
      <c r="J170" s="114">
        <f t="shared" si="56"/>
        <v>28077368.940000001</v>
      </c>
      <c r="K170" s="114">
        <f t="shared" si="50"/>
        <v>28077368.940000001</v>
      </c>
      <c r="L170" s="115">
        <v>1410370</v>
      </c>
      <c r="M170" s="115">
        <f t="shared" si="51"/>
        <v>0.88141365659021031</v>
      </c>
      <c r="N170" s="115">
        <f t="shared" si="59"/>
        <v>1410370</v>
      </c>
      <c r="O170" s="115">
        <f t="shared" si="57"/>
        <v>1410370</v>
      </c>
      <c r="P170" s="116">
        <f t="shared" si="58"/>
        <v>29487738.940000001</v>
      </c>
      <c r="Q170" s="116">
        <f t="shared" si="52"/>
        <v>1.033688816927943</v>
      </c>
      <c r="R170" s="117">
        <f t="shared" si="40"/>
        <v>29487738.940000001</v>
      </c>
      <c r="S170" s="117"/>
      <c r="T170" s="117">
        <f t="shared" si="41"/>
        <v>29487738.940000001</v>
      </c>
      <c r="U170" s="105"/>
      <c r="V170" s="105"/>
      <c r="W170" s="118">
        <v>24194712</v>
      </c>
      <c r="X170" s="118">
        <v>20596106.59</v>
      </c>
      <c r="Y170" s="118">
        <v>20596106.59</v>
      </c>
      <c r="Z170" s="118"/>
      <c r="AA170" s="118"/>
      <c r="AB170" s="118"/>
      <c r="AC170" s="118"/>
      <c r="AD170" s="118">
        <v>667870</v>
      </c>
      <c r="AE170" s="118">
        <v>638466.79</v>
      </c>
      <c r="AF170" s="118">
        <v>638466.79</v>
      </c>
      <c r="AG170" s="138"/>
      <c r="AH170" s="138"/>
      <c r="AI170" s="138"/>
      <c r="AJ170" s="110"/>
      <c r="AK170" s="110">
        <v>215278.01</v>
      </c>
      <c r="AL170" s="110">
        <v>215278.01</v>
      </c>
      <c r="AM170" s="135">
        <f>4623356.94+1800</f>
        <v>4625156.9400000004</v>
      </c>
      <c r="AN170" s="131">
        <v>1.0395960510213978E-2</v>
      </c>
      <c r="AO170" s="141">
        <v>3544198.116161353</v>
      </c>
      <c r="AP170" s="135">
        <v>3544198.116161353</v>
      </c>
    </row>
    <row r="171" spans="1:42" ht="110.1" customHeight="1" x14ac:dyDescent="0.25">
      <c r="A171" s="203"/>
      <c r="B171" s="215"/>
      <c r="C171" s="174">
        <f t="shared" si="62"/>
        <v>27</v>
      </c>
      <c r="D171" s="89" t="s">
        <v>19</v>
      </c>
      <c r="E171" s="113">
        <v>513</v>
      </c>
      <c r="F171" s="114">
        <f t="shared" si="61"/>
        <v>92068.701676413257</v>
      </c>
      <c r="G171" s="114">
        <f t="shared" si="53"/>
        <v>92068.701676413257</v>
      </c>
      <c r="H171" s="114">
        <f t="shared" si="54"/>
        <v>92068.701676413257</v>
      </c>
      <c r="I171" s="114">
        <f t="shared" si="55"/>
        <v>47231243.960000001</v>
      </c>
      <c r="J171" s="114">
        <f t="shared" si="56"/>
        <v>47231243.960000001</v>
      </c>
      <c r="K171" s="114">
        <f t="shared" si="50"/>
        <v>47231243.960000001</v>
      </c>
      <c r="L171" s="115">
        <v>1928600</v>
      </c>
      <c r="M171" s="115">
        <f t="shared" si="51"/>
        <v>1.2052825698929213</v>
      </c>
      <c r="N171" s="115">
        <f t="shared" si="59"/>
        <v>1928600</v>
      </c>
      <c r="O171" s="115">
        <f t="shared" si="57"/>
        <v>1928600</v>
      </c>
      <c r="P171" s="116">
        <f t="shared" si="58"/>
        <v>49159843.960000001</v>
      </c>
      <c r="Q171" s="116">
        <f t="shared" si="52"/>
        <v>1.7232918755409561</v>
      </c>
      <c r="R171" s="117">
        <f t="shared" si="40"/>
        <v>49159843.960000001</v>
      </c>
      <c r="S171" s="117"/>
      <c r="T171" s="117">
        <f t="shared" si="41"/>
        <v>49159843.960000001</v>
      </c>
      <c r="U171" s="105"/>
      <c r="V171" s="105"/>
      <c r="W171" s="118">
        <v>42390291</v>
      </c>
      <c r="X171" s="118">
        <v>37443803.789999999</v>
      </c>
      <c r="Y171" s="118">
        <v>37443803.789999999</v>
      </c>
      <c r="Z171" s="118">
        <v>727000</v>
      </c>
      <c r="AA171" s="118">
        <v>830000</v>
      </c>
      <c r="AB171" s="118">
        <v>830000</v>
      </c>
      <c r="AC171" s="118"/>
      <c r="AD171" s="118">
        <f>1006880-5994</f>
        <v>1000886</v>
      </c>
      <c r="AE171" s="118">
        <v>985237.89</v>
      </c>
      <c r="AF171" s="118">
        <v>985237.89</v>
      </c>
      <c r="AG171" s="138"/>
      <c r="AH171" s="138"/>
      <c r="AI171" s="138"/>
      <c r="AJ171" s="110"/>
      <c r="AK171" s="110">
        <v>287037.34000000003</v>
      </c>
      <c r="AL171" s="110">
        <v>287037.34000000003</v>
      </c>
      <c r="AM171" s="135">
        <f>5033872.96+7794</f>
        <v>5041666.96</v>
      </c>
      <c r="AN171" s="131">
        <v>1.6137922945221362E-2</v>
      </c>
      <c r="AO171" s="141">
        <v>4573016.0898830723</v>
      </c>
      <c r="AP171" s="135">
        <v>4573016.0898830723</v>
      </c>
    </row>
    <row r="172" spans="1:42" ht="110.1" customHeight="1" x14ac:dyDescent="0.25">
      <c r="A172" s="203"/>
      <c r="B172" s="215"/>
      <c r="C172" s="174">
        <f t="shared" si="62"/>
        <v>28</v>
      </c>
      <c r="D172" s="89" t="s">
        <v>42</v>
      </c>
      <c r="E172" s="113">
        <v>313</v>
      </c>
      <c r="F172" s="114">
        <f t="shared" si="61"/>
        <v>73826.950702875401</v>
      </c>
      <c r="G172" s="114">
        <f t="shared" si="53"/>
        <v>73826.950702875401</v>
      </c>
      <c r="H172" s="114">
        <f t="shared" si="54"/>
        <v>73826.950702875401</v>
      </c>
      <c r="I172" s="114">
        <f t="shared" si="55"/>
        <v>23107835.57</v>
      </c>
      <c r="J172" s="114">
        <f t="shared" si="56"/>
        <v>23107835.57</v>
      </c>
      <c r="K172" s="114">
        <f t="shared" si="50"/>
        <v>23107835.57</v>
      </c>
      <c r="L172" s="115">
        <v>1101730</v>
      </c>
      <c r="M172" s="115">
        <f t="shared" si="51"/>
        <v>0.68852844847460759</v>
      </c>
      <c r="N172" s="115">
        <f t="shared" si="59"/>
        <v>1101730</v>
      </c>
      <c r="O172" s="115">
        <f t="shared" si="57"/>
        <v>1101730</v>
      </c>
      <c r="P172" s="116">
        <f t="shared" si="58"/>
        <v>24209565.57</v>
      </c>
      <c r="Q172" s="116">
        <f t="shared" si="52"/>
        <v>0.84866314244413754</v>
      </c>
      <c r="R172" s="117">
        <f t="shared" si="40"/>
        <v>24209565.57</v>
      </c>
      <c r="S172" s="117"/>
      <c r="T172" s="117">
        <f t="shared" si="41"/>
        <v>24209565.57</v>
      </c>
      <c r="U172" s="105"/>
      <c r="V172" s="105"/>
      <c r="W172" s="118">
        <v>21226155</v>
      </c>
      <c r="X172" s="118">
        <v>18696532.510000002</v>
      </c>
      <c r="Y172" s="118">
        <v>18696532.510000002</v>
      </c>
      <c r="Z172" s="118"/>
      <c r="AA172" s="118"/>
      <c r="AB172" s="118"/>
      <c r="AC172" s="118"/>
      <c r="AD172" s="118">
        <v>633360</v>
      </c>
      <c r="AE172" s="118">
        <v>628267.64</v>
      </c>
      <c r="AF172" s="118">
        <v>628267.64</v>
      </c>
      <c r="AG172" s="138"/>
      <c r="AH172" s="138"/>
      <c r="AI172" s="138"/>
      <c r="AJ172" s="110"/>
      <c r="AK172" s="110">
        <v>157870.54</v>
      </c>
      <c r="AL172" s="110">
        <v>157870.54</v>
      </c>
      <c r="AM172" s="135">
        <f>2349450.57+600</f>
        <v>2350050.5699999998</v>
      </c>
      <c r="AN172" s="131">
        <v>8.2058379302482401E-3</v>
      </c>
      <c r="AO172" s="141">
        <v>2273767.477104058</v>
      </c>
      <c r="AP172" s="135">
        <v>2273767.477104058</v>
      </c>
    </row>
    <row r="173" spans="1:42" ht="110.1" customHeight="1" x14ac:dyDescent="0.25">
      <c r="A173" s="203"/>
      <c r="B173" s="215"/>
      <c r="C173" s="174">
        <f t="shared" si="62"/>
        <v>29</v>
      </c>
      <c r="D173" s="89" t="s">
        <v>190</v>
      </c>
      <c r="E173" s="113">
        <v>714</v>
      </c>
      <c r="F173" s="114">
        <f t="shared" si="61"/>
        <v>81553.517633053227</v>
      </c>
      <c r="G173" s="114">
        <f t="shared" si="53"/>
        <v>81553.517633053227</v>
      </c>
      <c r="H173" s="114">
        <f t="shared" si="54"/>
        <v>81553.517633053227</v>
      </c>
      <c r="I173" s="114">
        <f t="shared" si="55"/>
        <v>58229211.590000004</v>
      </c>
      <c r="J173" s="114">
        <f t="shared" si="56"/>
        <v>58229211.590000004</v>
      </c>
      <c r="K173" s="114">
        <f t="shared" si="50"/>
        <v>58229211.590000004</v>
      </c>
      <c r="L173" s="115">
        <v>2720190</v>
      </c>
      <c r="M173" s="115">
        <f t="shared" si="51"/>
        <v>1.6999883821409445</v>
      </c>
      <c r="N173" s="115">
        <f t="shared" si="59"/>
        <v>2720190</v>
      </c>
      <c r="O173" s="115">
        <f t="shared" si="57"/>
        <v>2720190</v>
      </c>
      <c r="P173" s="116">
        <f t="shared" si="58"/>
        <v>60949401.590000004</v>
      </c>
      <c r="Q173" s="116">
        <f t="shared" si="52"/>
        <v>2.136573270342212</v>
      </c>
      <c r="R173" s="117">
        <f t="shared" si="40"/>
        <v>60949401.590000004</v>
      </c>
      <c r="S173" s="117"/>
      <c r="T173" s="117">
        <f t="shared" si="41"/>
        <v>60949401.590000004</v>
      </c>
      <c r="U173" s="105"/>
      <c r="V173" s="105"/>
      <c r="W173" s="118">
        <v>44693707</v>
      </c>
      <c r="X173" s="118">
        <v>35668406.289999999</v>
      </c>
      <c r="Y173" s="118">
        <v>35668406.289999999</v>
      </c>
      <c r="Z173" s="118"/>
      <c r="AA173" s="118"/>
      <c r="AB173" s="118"/>
      <c r="AC173" s="118"/>
      <c r="AD173" s="118">
        <v>1585430</v>
      </c>
      <c r="AE173" s="118">
        <v>1283053.07</v>
      </c>
      <c r="AF173" s="118">
        <v>1283053.07</v>
      </c>
      <c r="AG173" s="138"/>
      <c r="AH173" s="138"/>
      <c r="AI173" s="138"/>
      <c r="AJ173" s="110"/>
      <c r="AK173" s="110">
        <v>358796.68</v>
      </c>
      <c r="AL173" s="110">
        <v>358796.68</v>
      </c>
      <c r="AM173" s="135">
        <f>9218160.83+5452103.76</f>
        <v>14670264.59</v>
      </c>
      <c r="AN173" s="131">
        <v>1.8120497539023114E-2</v>
      </c>
      <c r="AO173" s="141">
        <v>5021060.4342395784</v>
      </c>
      <c r="AP173" s="135">
        <v>5021060.4342395784</v>
      </c>
    </row>
    <row r="174" spans="1:42" ht="110.1" customHeight="1" x14ac:dyDescent="0.25">
      <c r="A174" s="203"/>
      <c r="B174" s="215"/>
      <c r="C174" s="174">
        <f t="shared" si="62"/>
        <v>30</v>
      </c>
      <c r="D174" s="89" t="s">
        <v>45</v>
      </c>
      <c r="E174" s="113">
        <v>431</v>
      </c>
      <c r="F174" s="114">
        <f t="shared" si="61"/>
        <v>83003.560185614842</v>
      </c>
      <c r="G174" s="114">
        <f t="shared" si="53"/>
        <v>83003.560185614842</v>
      </c>
      <c r="H174" s="114">
        <f t="shared" si="54"/>
        <v>83003.560185614842</v>
      </c>
      <c r="I174" s="114">
        <f t="shared" si="55"/>
        <v>35774534.439999998</v>
      </c>
      <c r="J174" s="114">
        <f t="shared" si="56"/>
        <v>35774534.439999998</v>
      </c>
      <c r="K174" s="114">
        <f t="shared" si="50"/>
        <v>35774534.439999998</v>
      </c>
      <c r="L174" s="115">
        <v>2077420</v>
      </c>
      <c r="M174" s="115">
        <f t="shared" si="51"/>
        <v>1.2982879375437895</v>
      </c>
      <c r="N174" s="115">
        <f t="shared" si="59"/>
        <v>2077420</v>
      </c>
      <c r="O174" s="115">
        <f t="shared" si="57"/>
        <v>2077420</v>
      </c>
      <c r="P174" s="116">
        <f t="shared" si="58"/>
        <v>37851954.439999998</v>
      </c>
      <c r="Q174" s="116">
        <f t="shared" si="52"/>
        <v>1.3268952930947915</v>
      </c>
      <c r="R174" s="117">
        <f t="shared" si="40"/>
        <v>37851954.439999998</v>
      </c>
      <c r="S174" s="117"/>
      <c r="T174" s="117">
        <f t="shared" si="41"/>
        <v>37851954.439999998</v>
      </c>
      <c r="U174" s="105"/>
      <c r="V174" s="105"/>
      <c r="W174" s="118">
        <v>32741349</v>
      </c>
      <c r="X174" s="118">
        <v>29724158.379999999</v>
      </c>
      <c r="Y174" s="118">
        <v>29724158.379999999</v>
      </c>
      <c r="Z174" s="118"/>
      <c r="AA174" s="118"/>
      <c r="AB174" s="118"/>
      <c r="AC174" s="118"/>
      <c r="AD174" s="118">
        <v>769370</v>
      </c>
      <c r="AE174" s="118">
        <v>881206.56</v>
      </c>
      <c r="AF174" s="118">
        <v>881206.56</v>
      </c>
      <c r="AG174" s="138"/>
      <c r="AH174" s="138"/>
      <c r="AI174" s="138"/>
      <c r="AJ174" s="110"/>
      <c r="AK174" s="110">
        <v>287037.34000000003</v>
      </c>
      <c r="AL174" s="110">
        <v>287037.34000000003</v>
      </c>
      <c r="AM174" s="135">
        <v>4341235.4400000004</v>
      </c>
      <c r="AN174" s="131">
        <v>1.543567425937239E-2</v>
      </c>
      <c r="AO174" s="141">
        <v>3916931.4954424594</v>
      </c>
      <c r="AP174" s="135">
        <v>3916931.4954424594</v>
      </c>
    </row>
    <row r="175" spans="1:42" ht="110.1" customHeight="1" x14ac:dyDescent="0.25">
      <c r="A175" s="203"/>
      <c r="B175" s="215"/>
      <c r="C175" s="174">
        <f t="shared" si="62"/>
        <v>31</v>
      </c>
      <c r="D175" s="89" t="s">
        <v>191</v>
      </c>
      <c r="E175" s="113">
        <v>570</v>
      </c>
      <c r="F175" s="114">
        <f t="shared" si="61"/>
        <v>73637.348385964913</v>
      </c>
      <c r="G175" s="114">
        <f t="shared" si="53"/>
        <v>73637.348385964913</v>
      </c>
      <c r="H175" s="114">
        <f t="shared" si="54"/>
        <v>73637.348385964913</v>
      </c>
      <c r="I175" s="114">
        <f t="shared" si="55"/>
        <v>41973288.579999998</v>
      </c>
      <c r="J175" s="114">
        <f t="shared" si="56"/>
        <v>41973288.579999998</v>
      </c>
      <c r="K175" s="114">
        <f t="shared" si="50"/>
        <v>41973288.579999998</v>
      </c>
      <c r="L175" s="115">
        <v>1800430</v>
      </c>
      <c r="M175" s="115">
        <f t="shared" si="51"/>
        <v>1.1251824625699018</v>
      </c>
      <c r="N175" s="115">
        <f t="shared" si="59"/>
        <v>1800430</v>
      </c>
      <c r="O175" s="115">
        <f t="shared" si="57"/>
        <v>1800430</v>
      </c>
      <c r="P175" s="116">
        <f t="shared" si="58"/>
        <v>43773718.579999998</v>
      </c>
      <c r="Q175" s="116">
        <f t="shared" si="52"/>
        <v>1.5344819575202369</v>
      </c>
      <c r="R175" s="117">
        <f t="shared" si="40"/>
        <v>43773718.579999998</v>
      </c>
      <c r="S175" s="117"/>
      <c r="T175" s="117">
        <f t="shared" si="41"/>
        <v>43773718.579999998</v>
      </c>
      <c r="U175" s="105"/>
      <c r="V175" s="105"/>
      <c r="W175" s="118">
        <v>38494468</v>
      </c>
      <c r="X175" s="118">
        <v>32185895.510000002</v>
      </c>
      <c r="Y175" s="118">
        <v>32185895.510000002</v>
      </c>
      <c r="Z175" s="118"/>
      <c r="AA175" s="118"/>
      <c r="AB175" s="118"/>
      <c r="AC175" s="118"/>
      <c r="AD175" s="118">
        <v>1128680</v>
      </c>
      <c r="AE175" s="118">
        <v>1109667.52</v>
      </c>
      <c r="AF175" s="118">
        <v>1109667.52</v>
      </c>
      <c r="AG175" s="138"/>
      <c r="AH175" s="138"/>
      <c r="AI175" s="138"/>
      <c r="AJ175" s="110"/>
      <c r="AK175" s="110">
        <v>315741.08</v>
      </c>
      <c r="AL175" s="110">
        <v>315741.08</v>
      </c>
      <c r="AM175" s="135">
        <f>4149970.58+600</f>
        <v>4150570.58</v>
      </c>
      <c r="AN175" s="131">
        <v>1.3062487275222795E-2</v>
      </c>
      <c r="AO175" s="141">
        <v>3619507.2110078321</v>
      </c>
      <c r="AP175" s="135">
        <v>3619507.2110078321</v>
      </c>
    </row>
    <row r="176" spans="1:42" ht="110.1" customHeight="1" x14ac:dyDescent="0.25">
      <c r="A176" s="203"/>
      <c r="B176" s="215"/>
      <c r="C176" s="174">
        <f t="shared" si="62"/>
        <v>32</v>
      </c>
      <c r="D176" s="89" t="s">
        <v>237</v>
      </c>
      <c r="E176" s="113">
        <v>506</v>
      </c>
      <c r="F176" s="114">
        <f t="shared" si="61"/>
        <v>68242.776126482204</v>
      </c>
      <c r="G176" s="114">
        <f t="shared" si="53"/>
        <v>68242.776126482204</v>
      </c>
      <c r="H176" s="114">
        <f t="shared" si="54"/>
        <v>68242.776126482204</v>
      </c>
      <c r="I176" s="114">
        <f t="shared" si="55"/>
        <v>34530844.719999999</v>
      </c>
      <c r="J176" s="114">
        <f t="shared" si="56"/>
        <v>34530844.719999999</v>
      </c>
      <c r="K176" s="114">
        <f t="shared" si="50"/>
        <v>34530844.719999999</v>
      </c>
      <c r="L176" s="115">
        <v>1418370</v>
      </c>
      <c r="M176" s="115">
        <f t="shared" si="51"/>
        <v>0.88641327318211283</v>
      </c>
      <c r="N176" s="115">
        <f t="shared" si="59"/>
        <v>1418370</v>
      </c>
      <c r="O176" s="115">
        <f t="shared" si="57"/>
        <v>1418370</v>
      </c>
      <c r="P176" s="116">
        <f t="shared" si="58"/>
        <v>35949214.719999999</v>
      </c>
      <c r="Q176" s="116">
        <f t="shared" si="52"/>
        <v>1.2601950020317629</v>
      </c>
      <c r="R176" s="117">
        <f t="shared" si="40"/>
        <v>35949214.719999999</v>
      </c>
      <c r="S176" s="117"/>
      <c r="T176" s="117">
        <f t="shared" si="41"/>
        <v>35949214.719999999</v>
      </c>
      <c r="U176" s="105"/>
      <c r="V176" s="105"/>
      <c r="W176" s="118">
        <v>31768614</v>
      </c>
      <c r="X176" s="118">
        <v>28175863.260000002</v>
      </c>
      <c r="Y176" s="118">
        <v>28175863.260000002</v>
      </c>
      <c r="Z176" s="118"/>
      <c r="AA176" s="118"/>
      <c r="AB176" s="118"/>
      <c r="AC176" s="118"/>
      <c r="AD176" s="118">
        <v>1012970</v>
      </c>
      <c r="AE176" s="118">
        <v>972998.91</v>
      </c>
      <c r="AF176" s="118">
        <v>972998.91</v>
      </c>
      <c r="AG176" s="138"/>
      <c r="AH176" s="138"/>
      <c r="AI176" s="138"/>
      <c r="AJ176" s="110"/>
      <c r="AK176" s="110">
        <v>272685.48</v>
      </c>
      <c r="AL176" s="110">
        <v>272685.48</v>
      </c>
      <c r="AM176" s="135">
        <f>3167030.72+600</f>
        <v>3167630.72</v>
      </c>
      <c r="AN176" s="131">
        <v>1.0919512133529603E-2</v>
      </c>
      <c r="AO176" s="141">
        <v>3025709.5274384478</v>
      </c>
      <c r="AP176" s="135">
        <v>3025709.5274384478</v>
      </c>
    </row>
    <row r="177" spans="1:42" ht="110.1" customHeight="1" x14ac:dyDescent="0.25">
      <c r="A177" s="203"/>
      <c r="B177" s="215"/>
      <c r="C177" s="174">
        <f t="shared" si="62"/>
        <v>33</v>
      </c>
      <c r="D177" s="89" t="s">
        <v>238</v>
      </c>
      <c r="E177" s="113">
        <v>304</v>
      </c>
      <c r="F177" s="114">
        <f t="shared" si="61"/>
        <v>79304.680921052626</v>
      </c>
      <c r="G177" s="114">
        <f t="shared" si="53"/>
        <v>79304.680921052626</v>
      </c>
      <c r="H177" s="114">
        <f t="shared" si="54"/>
        <v>79304.680921052626</v>
      </c>
      <c r="I177" s="114">
        <f t="shared" si="55"/>
        <v>24108623</v>
      </c>
      <c r="J177" s="114">
        <f t="shared" si="56"/>
        <v>24108623</v>
      </c>
      <c r="K177" s="114">
        <f t="shared" ref="K177:K193" si="63">T177-O177</f>
        <v>24108623</v>
      </c>
      <c r="L177" s="115">
        <v>1397040</v>
      </c>
      <c r="M177" s="115">
        <f t="shared" ref="M177:M193" si="64">L177/L$194*100</f>
        <v>0.87308304544395243</v>
      </c>
      <c r="N177" s="115">
        <f t="shared" si="59"/>
        <v>1397040</v>
      </c>
      <c r="O177" s="115">
        <f t="shared" si="57"/>
        <v>1397040</v>
      </c>
      <c r="P177" s="116">
        <f t="shared" si="58"/>
        <v>25505663</v>
      </c>
      <c r="Q177" s="116">
        <f t="shared" ref="Q177:Q193" si="65">P177/P$194*100</f>
        <v>0.89409766768074916</v>
      </c>
      <c r="R177" s="117">
        <f t="shared" si="40"/>
        <v>25505663</v>
      </c>
      <c r="S177" s="117"/>
      <c r="T177" s="117">
        <f t="shared" si="41"/>
        <v>25505663</v>
      </c>
      <c r="U177" s="105"/>
      <c r="V177" s="105"/>
      <c r="W177" s="118">
        <v>21067741</v>
      </c>
      <c r="X177" s="118">
        <v>16660435.15</v>
      </c>
      <c r="Y177" s="118">
        <v>16660435.15</v>
      </c>
      <c r="Z177" s="118"/>
      <c r="AA177" s="118"/>
      <c r="AB177" s="118"/>
      <c r="AC177" s="118"/>
      <c r="AD177" s="118">
        <v>621180</v>
      </c>
      <c r="AE177" s="118">
        <v>528315.97</v>
      </c>
      <c r="AF177" s="118">
        <v>528315.97</v>
      </c>
      <c r="AG177" s="138"/>
      <c r="AH177" s="138"/>
      <c r="AI177" s="138"/>
      <c r="AJ177" s="110"/>
      <c r="AK177" s="110">
        <v>157870.54</v>
      </c>
      <c r="AL177" s="110">
        <v>157870.54</v>
      </c>
      <c r="AM177" s="135">
        <v>3816742</v>
      </c>
      <c r="AN177" s="131">
        <v>1.1075148308711397E-2</v>
      </c>
      <c r="AO177" s="141">
        <v>3068779.7902701809</v>
      </c>
      <c r="AP177" s="135">
        <v>3068779.7902701809</v>
      </c>
    </row>
    <row r="178" spans="1:42" ht="110.1" customHeight="1" x14ac:dyDescent="0.25">
      <c r="A178" s="203"/>
      <c r="B178" s="215"/>
      <c r="C178" s="174">
        <f t="shared" si="62"/>
        <v>34</v>
      </c>
      <c r="D178" s="89" t="s">
        <v>21</v>
      </c>
      <c r="E178" s="113">
        <v>422</v>
      </c>
      <c r="F178" s="114">
        <f t="shared" si="61"/>
        <v>119976.53018957346</v>
      </c>
      <c r="G178" s="114">
        <f t="shared" si="53"/>
        <v>119976.53018957346</v>
      </c>
      <c r="H178" s="114">
        <f t="shared" si="54"/>
        <v>119976.53018957346</v>
      </c>
      <c r="I178" s="114">
        <f t="shared" si="55"/>
        <v>50630095.740000002</v>
      </c>
      <c r="J178" s="114">
        <f t="shared" si="56"/>
        <v>50630095.740000002</v>
      </c>
      <c r="K178" s="114">
        <f t="shared" si="63"/>
        <v>50630095.740000002</v>
      </c>
      <c r="L178" s="115">
        <v>1674200</v>
      </c>
      <c r="M178" s="115">
        <f t="shared" si="64"/>
        <v>1.0462947622704184</v>
      </c>
      <c r="N178" s="115">
        <f t="shared" si="59"/>
        <v>1674200</v>
      </c>
      <c r="O178" s="115">
        <f t="shared" si="57"/>
        <v>1674200</v>
      </c>
      <c r="P178" s="116">
        <f t="shared" si="58"/>
        <v>52304295.740000002</v>
      </c>
      <c r="Q178" s="116">
        <f t="shared" si="65"/>
        <v>1.8335202198358127</v>
      </c>
      <c r="R178" s="117">
        <f t="shared" si="40"/>
        <v>52304295.740000002</v>
      </c>
      <c r="S178" s="117"/>
      <c r="T178" s="117">
        <f t="shared" si="41"/>
        <v>52304295.740000002</v>
      </c>
      <c r="U178" s="105"/>
      <c r="V178" s="105"/>
      <c r="W178" s="118">
        <v>46570368</v>
      </c>
      <c r="X178" s="118">
        <v>38441466.32</v>
      </c>
      <c r="Y178" s="118">
        <v>38441466.32</v>
      </c>
      <c r="Z178" s="118"/>
      <c r="AA178" s="118"/>
      <c r="AB178" s="118"/>
      <c r="AC178" s="118"/>
      <c r="AD178" s="118">
        <v>917560</v>
      </c>
      <c r="AE178" s="118">
        <v>822051.49</v>
      </c>
      <c r="AF178" s="118">
        <v>822051.49</v>
      </c>
      <c r="AG178" s="138"/>
      <c r="AH178" s="138"/>
      <c r="AI178" s="138"/>
      <c r="AJ178" s="110"/>
      <c r="AK178" s="110">
        <v>330092.95</v>
      </c>
      <c r="AL178" s="110">
        <v>330092.95</v>
      </c>
      <c r="AM178" s="135">
        <f>4616367.74+200000</f>
        <v>4816367.74</v>
      </c>
      <c r="AN178" s="131">
        <v>1.2989235044811975E-2</v>
      </c>
      <c r="AO178" s="141">
        <v>3612383.8390743216</v>
      </c>
      <c r="AP178" s="135">
        <v>3612383.8390743216</v>
      </c>
    </row>
    <row r="179" spans="1:42" ht="110.1" customHeight="1" x14ac:dyDescent="0.25">
      <c r="A179" s="203"/>
      <c r="B179" s="215"/>
      <c r="C179" s="174">
        <f t="shared" si="62"/>
        <v>35</v>
      </c>
      <c r="D179" s="89" t="s">
        <v>35</v>
      </c>
      <c r="E179" s="113">
        <v>499</v>
      </c>
      <c r="F179" s="114">
        <f t="shared" si="61"/>
        <v>99605.446533066133</v>
      </c>
      <c r="G179" s="114">
        <f t="shared" si="53"/>
        <v>99605.446533066133</v>
      </c>
      <c r="H179" s="114">
        <f t="shared" si="54"/>
        <v>99605.446533066133</v>
      </c>
      <c r="I179" s="114">
        <f t="shared" si="55"/>
        <v>49703117.82</v>
      </c>
      <c r="J179" s="114">
        <f t="shared" si="56"/>
        <v>49703117.82</v>
      </c>
      <c r="K179" s="114">
        <f t="shared" si="63"/>
        <v>49703117.82</v>
      </c>
      <c r="L179" s="115">
        <v>1699850</v>
      </c>
      <c r="M179" s="115">
        <f t="shared" si="64"/>
        <v>1.0623247829682061</v>
      </c>
      <c r="N179" s="115">
        <f t="shared" si="59"/>
        <v>1699850</v>
      </c>
      <c r="O179" s="115">
        <f t="shared" si="57"/>
        <v>1699850</v>
      </c>
      <c r="P179" s="116">
        <f t="shared" si="58"/>
        <v>51402967.82</v>
      </c>
      <c r="Q179" s="116">
        <f t="shared" si="65"/>
        <v>1.8019242879407058</v>
      </c>
      <c r="R179" s="117">
        <f t="shared" si="40"/>
        <v>51402967.82</v>
      </c>
      <c r="S179" s="117"/>
      <c r="T179" s="117">
        <f t="shared" si="41"/>
        <v>51402967.82</v>
      </c>
      <c r="U179" s="105"/>
      <c r="V179" s="105"/>
      <c r="W179" s="118">
        <v>46061771</v>
      </c>
      <c r="X179" s="118">
        <v>39578753.5</v>
      </c>
      <c r="Y179" s="118">
        <v>39578753.5</v>
      </c>
      <c r="Z179" s="118"/>
      <c r="AA179" s="118"/>
      <c r="AB179" s="118"/>
      <c r="AC179" s="118"/>
      <c r="AD179" s="118">
        <v>1057630</v>
      </c>
      <c r="AE179" s="118">
        <v>1005636.19</v>
      </c>
      <c r="AF179" s="118">
        <v>1005636.19</v>
      </c>
      <c r="AG179" s="138"/>
      <c r="AH179" s="138"/>
      <c r="AI179" s="138"/>
      <c r="AJ179" s="110"/>
      <c r="AK179" s="110">
        <v>330092.95</v>
      </c>
      <c r="AL179" s="110">
        <v>330092.95</v>
      </c>
      <c r="AM179" s="135">
        <f>4282366.82+1200</f>
        <v>4283566.82</v>
      </c>
      <c r="AN179" s="131">
        <v>1.2266837032711789E-2</v>
      </c>
      <c r="AO179" s="141">
        <v>3480813.7842940786</v>
      </c>
      <c r="AP179" s="135">
        <v>3480813.7842940786</v>
      </c>
    </row>
    <row r="180" spans="1:42" ht="110.1" customHeight="1" x14ac:dyDescent="0.25">
      <c r="A180" s="203"/>
      <c r="B180" s="215"/>
      <c r="C180" s="174">
        <f t="shared" si="62"/>
        <v>36</v>
      </c>
      <c r="D180" s="89" t="s">
        <v>50</v>
      </c>
      <c r="E180" s="113">
        <v>397</v>
      </c>
      <c r="F180" s="114">
        <f t="shared" si="61"/>
        <v>120025.25894206548</v>
      </c>
      <c r="G180" s="114">
        <f t="shared" si="53"/>
        <v>120025.25894206548</v>
      </c>
      <c r="H180" s="114">
        <f t="shared" si="54"/>
        <v>120025.25894206548</v>
      </c>
      <c r="I180" s="114">
        <f t="shared" si="55"/>
        <v>47650027.799999997</v>
      </c>
      <c r="J180" s="114">
        <f t="shared" si="56"/>
        <v>47650027.799999997</v>
      </c>
      <c r="K180" s="114">
        <f t="shared" si="63"/>
        <v>47650027.799999997</v>
      </c>
      <c r="L180" s="115">
        <v>1789440</v>
      </c>
      <c r="M180" s="115">
        <f t="shared" si="64"/>
        <v>1.1183142392767753</v>
      </c>
      <c r="N180" s="115">
        <f t="shared" si="59"/>
        <v>1789440</v>
      </c>
      <c r="O180" s="115">
        <f t="shared" si="57"/>
        <v>1789440</v>
      </c>
      <c r="P180" s="116">
        <f t="shared" si="58"/>
        <v>49439467.799999997</v>
      </c>
      <c r="Q180" s="116">
        <f t="shared" si="65"/>
        <v>1.7330940525387442</v>
      </c>
      <c r="R180" s="117">
        <f t="shared" si="40"/>
        <v>49439467.799999997</v>
      </c>
      <c r="S180" s="117"/>
      <c r="T180" s="117">
        <f t="shared" si="41"/>
        <v>49439467.799999997</v>
      </c>
      <c r="U180" s="105"/>
      <c r="V180" s="105"/>
      <c r="W180" s="118">
        <v>43720538</v>
      </c>
      <c r="X180" s="118">
        <v>36104427.719999999</v>
      </c>
      <c r="Y180" s="118">
        <v>36104427.719999999</v>
      </c>
      <c r="Z180" s="118"/>
      <c r="AA180" s="118"/>
      <c r="AB180" s="118"/>
      <c r="AC180" s="118"/>
      <c r="AD180" s="118">
        <v>830270</v>
      </c>
      <c r="AE180" s="118">
        <v>705781.18</v>
      </c>
      <c r="AF180" s="118">
        <v>705781.18</v>
      </c>
      <c r="AG180" s="138"/>
      <c r="AH180" s="138"/>
      <c r="AI180" s="138"/>
      <c r="AJ180" s="110"/>
      <c r="AK180" s="110">
        <v>287037.34000000003</v>
      </c>
      <c r="AL180" s="110">
        <v>287037.34000000003</v>
      </c>
      <c r="AM180" s="135">
        <f>4886214.88+2444.92</f>
        <v>4888659.8</v>
      </c>
      <c r="AN180" s="131">
        <v>1.6882839665675931E-2</v>
      </c>
      <c r="AO180" s="141">
        <v>4678139.2924468881</v>
      </c>
      <c r="AP180" s="135">
        <v>4678139.2924468881</v>
      </c>
    </row>
    <row r="181" spans="1:42" ht="110.1" customHeight="1" x14ac:dyDescent="0.25">
      <c r="A181" s="203"/>
      <c r="B181" s="215"/>
      <c r="C181" s="174">
        <f t="shared" si="62"/>
        <v>37</v>
      </c>
      <c r="D181" s="89" t="s">
        <v>183</v>
      </c>
      <c r="E181" s="113">
        <v>647</v>
      </c>
      <c r="F181" s="114">
        <f t="shared" si="61"/>
        <v>91084.772735703242</v>
      </c>
      <c r="G181" s="114">
        <f t="shared" si="53"/>
        <v>91084.772735703242</v>
      </c>
      <c r="H181" s="114">
        <f t="shared" si="54"/>
        <v>91084.772735703242</v>
      </c>
      <c r="I181" s="114">
        <f t="shared" si="55"/>
        <v>58931847.960000001</v>
      </c>
      <c r="J181" s="114">
        <f t="shared" si="56"/>
        <v>58931847.960000001</v>
      </c>
      <c r="K181" s="114">
        <f t="shared" si="63"/>
        <v>58931847.960000001</v>
      </c>
      <c r="L181" s="115">
        <v>3857310</v>
      </c>
      <c r="M181" s="115">
        <f t="shared" si="64"/>
        <v>2.4106338845139814</v>
      </c>
      <c r="N181" s="115">
        <f t="shared" si="59"/>
        <v>3857310</v>
      </c>
      <c r="O181" s="115">
        <f t="shared" si="57"/>
        <v>3857310</v>
      </c>
      <c r="P181" s="116">
        <f t="shared" si="58"/>
        <v>62789157.960000001</v>
      </c>
      <c r="Q181" s="116">
        <f t="shared" si="65"/>
        <v>2.2010656883404347</v>
      </c>
      <c r="R181" s="117">
        <f t="shared" si="40"/>
        <v>62789157.960000001</v>
      </c>
      <c r="S181" s="117"/>
      <c r="T181" s="117">
        <f t="shared" si="41"/>
        <v>62789157.960000001</v>
      </c>
      <c r="U181" s="105"/>
      <c r="V181" s="105"/>
      <c r="W181" s="118">
        <v>53296753</v>
      </c>
      <c r="X181" s="118">
        <v>45151035.460000001</v>
      </c>
      <c r="Y181" s="118">
        <v>45151035.460000001</v>
      </c>
      <c r="Z181" s="118"/>
      <c r="AA181" s="118"/>
      <c r="AB181" s="118"/>
      <c r="AC181" s="118"/>
      <c r="AD181" s="118">
        <v>1329560</v>
      </c>
      <c r="AE181" s="118">
        <v>1223898</v>
      </c>
      <c r="AF181" s="118">
        <v>1223898</v>
      </c>
      <c r="AG181" s="138"/>
      <c r="AH181" s="138"/>
      <c r="AI181" s="138"/>
      <c r="AJ181" s="110"/>
      <c r="AK181" s="110">
        <v>373148.55</v>
      </c>
      <c r="AL181" s="110">
        <v>373148.55</v>
      </c>
      <c r="AM181" s="135">
        <f>8168244.96-5400</f>
        <v>8162844.96</v>
      </c>
      <c r="AN181" s="131">
        <v>2.0635391525363103E-2</v>
      </c>
      <c r="AO181" s="141">
        <v>5986619.6656334233</v>
      </c>
      <c r="AP181" s="135">
        <v>5986619.6656334233</v>
      </c>
    </row>
    <row r="182" spans="1:42" ht="110.1" customHeight="1" x14ac:dyDescent="0.25">
      <c r="A182" s="203"/>
      <c r="B182" s="215"/>
      <c r="C182" s="174">
        <f t="shared" si="62"/>
        <v>38</v>
      </c>
      <c r="D182" s="89" t="s">
        <v>36</v>
      </c>
      <c r="E182" s="113">
        <v>348</v>
      </c>
      <c r="F182" s="114">
        <f t="shared" si="61"/>
        <v>102312.01925287358</v>
      </c>
      <c r="G182" s="114">
        <f t="shared" si="53"/>
        <v>102312.01925287358</v>
      </c>
      <c r="H182" s="114">
        <f t="shared" si="54"/>
        <v>102312.01925287358</v>
      </c>
      <c r="I182" s="114">
        <f t="shared" si="55"/>
        <v>35604582.700000003</v>
      </c>
      <c r="J182" s="114">
        <f t="shared" si="56"/>
        <v>35604582.700000003</v>
      </c>
      <c r="K182" s="114">
        <f t="shared" si="63"/>
        <v>35604582.700000003</v>
      </c>
      <c r="L182" s="115">
        <v>1875870</v>
      </c>
      <c r="M182" s="115">
        <f t="shared" si="64"/>
        <v>1.1723288470315432</v>
      </c>
      <c r="N182" s="115">
        <f t="shared" si="59"/>
        <v>1875870</v>
      </c>
      <c r="O182" s="115">
        <f t="shared" si="57"/>
        <v>1875870</v>
      </c>
      <c r="P182" s="116">
        <f t="shared" si="58"/>
        <v>37480452.700000003</v>
      </c>
      <c r="Q182" s="116">
        <f t="shared" si="65"/>
        <v>1.313872348375678</v>
      </c>
      <c r="R182" s="117">
        <f t="shared" si="40"/>
        <v>37480452.700000003</v>
      </c>
      <c r="S182" s="117"/>
      <c r="T182" s="117">
        <f t="shared" si="41"/>
        <v>37480452.700000003</v>
      </c>
      <c r="U182" s="105"/>
      <c r="V182" s="105"/>
      <c r="W182" s="118">
        <v>32681964</v>
      </c>
      <c r="X182" s="118">
        <v>26459098.300000001</v>
      </c>
      <c r="Y182" s="118">
        <v>26459098.300000001</v>
      </c>
      <c r="Z182" s="118"/>
      <c r="AA182" s="118"/>
      <c r="AB182" s="118"/>
      <c r="AC182" s="118"/>
      <c r="AD182" s="118">
        <v>809970</v>
      </c>
      <c r="AE182" s="118">
        <v>607869.34</v>
      </c>
      <c r="AF182" s="118">
        <v>607869.34</v>
      </c>
      <c r="AG182" s="138"/>
      <c r="AH182" s="138"/>
      <c r="AI182" s="138"/>
      <c r="AJ182" s="110"/>
      <c r="AK182" s="110">
        <v>229629.88</v>
      </c>
      <c r="AL182" s="110">
        <v>229629.88</v>
      </c>
      <c r="AM182" s="135">
        <v>3988518.7</v>
      </c>
      <c r="AN182" s="131">
        <v>1.352317564750836E-2</v>
      </c>
      <c r="AO182" s="141">
        <v>3747095.3192128278</v>
      </c>
      <c r="AP182" s="135">
        <v>3747095.3192128278</v>
      </c>
    </row>
    <row r="183" spans="1:42" ht="110.1" customHeight="1" x14ac:dyDescent="0.25">
      <c r="A183" s="203"/>
      <c r="B183" s="215"/>
      <c r="C183" s="174">
        <f t="shared" si="62"/>
        <v>39</v>
      </c>
      <c r="D183" s="89" t="s">
        <v>194</v>
      </c>
      <c r="E183" s="137">
        <v>225</v>
      </c>
      <c r="F183" s="114">
        <f t="shared" si="61"/>
        <v>123523.68466666667</v>
      </c>
      <c r="G183" s="114">
        <f t="shared" si="53"/>
        <v>123523.68466666667</v>
      </c>
      <c r="H183" s="114">
        <f t="shared" si="54"/>
        <v>123523.68466666667</v>
      </c>
      <c r="I183" s="114">
        <f t="shared" si="55"/>
        <v>27792829.050000001</v>
      </c>
      <c r="J183" s="114">
        <f t="shared" si="56"/>
        <v>27792829.050000001</v>
      </c>
      <c r="K183" s="114">
        <f t="shared" si="63"/>
        <v>27792829.050000001</v>
      </c>
      <c r="L183" s="115">
        <v>1712280</v>
      </c>
      <c r="M183" s="115">
        <f t="shared" si="64"/>
        <v>1.0700929372478749</v>
      </c>
      <c r="N183" s="115">
        <f t="shared" si="59"/>
        <v>1712280</v>
      </c>
      <c r="O183" s="115">
        <f t="shared" si="57"/>
        <v>1712280</v>
      </c>
      <c r="P183" s="116">
        <f t="shared" si="58"/>
        <v>29505109.050000001</v>
      </c>
      <c r="Q183" s="116">
        <f t="shared" si="65"/>
        <v>1.0342977238533719</v>
      </c>
      <c r="R183" s="117">
        <f t="shared" si="40"/>
        <v>29505109.050000001</v>
      </c>
      <c r="S183" s="117"/>
      <c r="T183" s="117">
        <f t="shared" si="41"/>
        <v>29505109.050000001</v>
      </c>
      <c r="U183" s="105"/>
      <c r="V183" s="105"/>
      <c r="W183" s="118">
        <v>24092680</v>
      </c>
      <c r="X183" s="118">
        <v>19776127.870000001</v>
      </c>
      <c r="Y183" s="118">
        <v>19776127.870000001</v>
      </c>
      <c r="Z183" s="118"/>
      <c r="AA183" s="118"/>
      <c r="AB183" s="118"/>
      <c r="AC183" s="118"/>
      <c r="AD183" s="118">
        <v>458780</v>
      </c>
      <c r="AE183" s="118">
        <v>430404.13</v>
      </c>
      <c r="AF183" s="118">
        <v>430404.13</v>
      </c>
      <c r="AG183" s="138"/>
      <c r="AH183" s="138"/>
      <c r="AI183" s="138"/>
      <c r="AJ183" s="110"/>
      <c r="AK183" s="110">
        <v>157870.54</v>
      </c>
      <c r="AL183" s="110">
        <v>157870.54</v>
      </c>
      <c r="AM183" s="135">
        <f>4951249.05+2400</f>
        <v>4953649.05</v>
      </c>
      <c r="AN183" s="131">
        <v>1.1893296977906845E-2</v>
      </c>
      <c r="AO183" s="141">
        <v>3295517.5440147864</v>
      </c>
      <c r="AP183" s="135">
        <v>3295517.5440147864</v>
      </c>
    </row>
    <row r="184" spans="1:42" ht="110.1" customHeight="1" x14ac:dyDescent="0.25">
      <c r="A184" s="203"/>
      <c r="B184" s="215"/>
      <c r="C184" s="174">
        <v>37</v>
      </c>
      <c r="D184" s="89" t="s">
        <v>25</v>
      </c>
      <c r="E184" s="137">
        <v>420</v>
      </c>
      <c r="F184" s="114">
        <f t="shared" si="61"/>
        <v>96065.827023809528</v>
      </c>
      <c r="G184" s="114">
        <f t="shared" si="53"/>
        <v>96065.827023809528</v>
      </c>
      <c r="H184" s="114">
        <f t="shared" si="54"/>
        <v>96065.827023809528</v>
      </c>
      <c r="I184" s="114">
        <f t="shared" si="55"/>
        <v>40347647.350000001</v>
      </c>
      <c r="J184" s="114">
        <f t="shared" si="56"/>
        <v>40347647.350000001</v>
      </c>
      <c r="K184" s="114">
        <f t="shared" si="63"/>
        <v>40347647.350000001</v>
      </c>
      <c r="L184" s="115">
        <v>1823050</v>
      </c>
      <c r="M184" s="115">
        <f t="shared" si="64"/>
        <v>1.1393188784835064</v>
      </c>
      <c r="N184" s="115">
        <f t="shared" si="59"/>
        <v>1823050</v>
      </c>
      <c r="O184" s="115">
        <f t="shared" si="57"/>
        <v>1823050</v>
      </c>
      <c r="P184" s="116">
        <f t="shared" si="58"/>
        <v>42170697.350000001</v>
      </c>
      <c r="Q184" s="116">
        <f t="shared" si="65"/>
        <v>1.4782882587724049</v>
      </c>
      <c r="R184" s="117">
        <f t="shared" si="40"/>
        <v>42170697.350000001</v>
      </c>
      <c r="S184" s="117"/>
      <c r="T184" s="117">
        <f t="shared" si="41"/>
        <v>42170697.350000001</v>
      </c>
      <c r="U184" s="105"/>
      <c r="V184" s="105"/>
      <c r="W184" s="118">
        <v>36905501</v>
      </c>
      <c r="X184" s="118">
        <v>29690175.079999998</v>
      </c>
      <c r="Y184" s="118">
        <v>29690175.079999998</v>
      </c>
      <c r="Z184" s="118"/>
      <c r="AA184" s="118"/>
      <c r="AB184" s="118"/>
      <c r="AC184" s="118"/>
      <c r="AD184" s="118">
        <v>933800</v>
      </c>
      <c r="AE184" s="118">
        <v>787374.38</v>
      </c>
      <c r="AF184" s="118">
        <v>787374.38</v>
      </c>
      <c r="AG184" s="138"/>
      <c r="AH184" s="138"/>
      <c r="AI184" s="138"/>
      <c r="AJ184" s="110"/>
      <c r="AK184" s="110">
        <v>287037.34000000003</v>
      </c>
      <c r="AL184" s="110">
        <v>287037.34000000003</v>
      </c>
      <c r="AM184" s="135">
        <f>4330796.35+600</f>
        <v>4331396.3499999996</v>
      </c>
      <c r="AN184" s="131">
        <v>1.2462474087101659E-2</v>
      </c>
      <c r="AO184" s="141">
        <v>3453194.3535486362</v>
      </c>
      <c r="AP184" s="135">
        <v>3453194.3535486362</v>
      </c>
    </row>
    <row r="185" spans="1:42" ht="110.1" customHeight="1" x14ac:dyDescent="0.25">
      <c r="A185" s="203"/>
      <c r="B185" s="215"/>
      <c r="C185" s="174">
        <v>38</v>
      </c>
      <c r="D185" s="89" t="s">
        <v>22</v>
      </c>
      <c r="E185" s="137">
        <v>404</v>
      </c>
      <c r="F185" s="114">
        <f t="shared" si="61"/>
        <v>93621.356361386133</v>
      </c>
      <c r="G185" s="114">
        <f t="shared" si="53"/>
        <v>93621.356361386133</v>
      </c>
      <c r="H185" s="114">
        <f t="shared" si="54"/>
        <v>93621.356361386133</v>
      </c>
      <c r="I185" s="114">
        <f t="shared" si="55"/>
        <v>37823027.969999999</v>
      </c>
      <c r="J185" s="114">
        <f t="shared" si="56"/>
        <v>37823027.969999999</v>
      </c>
      <c r="K185" s="114">
        <f t="shared" si="63"/>
        <v>37823027.969999999</v>
      </c>
      <c r="L185" s="115">
        <v>2277070</v>
      </c>
      <c r="M185" s="115">
        <f t="shared" si="64"/>
        <v>1.423059619115459</v>
      </c>
      <c r="N185" s="115">
        <f t="shared" si="59"/>
        <v>2277070</v>
      </c>
      <c r="O185" s="115">
        <f t="shared" si="57"/>
        <v>2277070</v>
      </c>
      <c r="P185" s="116">
        <f t="shared" si="58"/>
        <v>40100097.969999999</v>
      </c>
      <c r="Q185" s="116">
        <f t="shared" si="65"/>
        <v>1.4057036693673302</v>
      </c>
      <c r="R185" s="117">
        <f t="shared" si="40"/>
        <v>40100097.969999999</v>
      </c>
      <c r="S185" s="117"/>
      <c r="T185" s="117">
        <f t="shared" si="41"/>
        <v>40100097.969999999</v>
      </c>
      <c r="U185" s="105"/>
      <c r="V185" s="105"/>
      <c r="W185" s="118">
        <v>34292951</v>
      </c>
      <c r="X185" s="118">
        <v>29355135.34</v>
      </c>
      <c r="Y185" s="118">
        <v>29355135.34</v>
      </c>
      <c r="Z185" s="118"/>
      <c r="AA185" s="118"/>
      <c r="AB185" s="118"/>
      <c r="AC185" s="118"/>
      <c r="AD185" s="118">
        <v>844480</v>
      </c>
      <c r="AE185" s="118">
        <v>830210.81</v>
      </c>
      <c r="AF185" s="118">
        <v>830210.81</v>
      </c>
      <c r="AG185" s="138"/>
      <c r="AH185" s="138"/>
      <c r="AI185" s="138"/>
      <c r="AJ185" s="110"/>
      <c r="AK185" s="110">
        <v>258333.61</v>
      </c>
      <c r="AL185" s="110">
        <v>258333.61</v>
      </c>
      <c r="AM185" s="135">
        <f>4961466.97+1200</f>
        <v>4962666.97</v>
      </c>
      <c r="AN185" s="131">
        <v>1.5800479630876312E-2</v>
      </c>
      <c r="AO185" s="141">
        <v>4378132.5702433232</v>
      </c>
      <c r="AP185" s="135">
        <v>4378132.5702433232</v>
      </c>
    </row>
    <row r="186" spans="1:42" ht="110.1" customHeight="1" x14ac:dyDescent="0.25">
      <c r="A186" s="203"/>
      <c r="B186" s="215"/>
      <c r="C186" s="174">
        <v>39</v>
      </c>
      <c r="D186" s="89" t="s">
        <v>37</v>
      </c>
      <c r="E186" s="113">
        <v>547</v>
      </c>
      <c r="F186" s="114">
        <f t="shared" si="61"/>
        <v>88126.997641681897</v>
      </c>
      <c r="G186" s="114">
        <f t="shared" si="53"/>
        <v>88126.997641681897</v>
      </c>
      <c r="H186" s="114">
        <f t="shared" si="54"/>
        <v>88126.997641681897</v>
      </c>
      <c r="I186" s="114">
        <f t="shared" si="55"/>
        <v>48205467.710000001</v>
      </c>
      <c r="J186" s="114">
        <f t="shared" si="56"/>
        <v>48205467.710000001</v>
      </c>
      <c r="K186" s="114">
        <f t="shared" si="63"/>
        <v>48205467.710000001</v>
      </c>
      <c r="L186" s="115">
        <v>2168520</v>
      </c>
      <c r="M186" s="115">
        <f t="shared" si="64"/>
        <v>1.3552210714840804</v>
      </c>
      <c r="N186" s="115">
        <f t="shared" si="59"/>
        <v>2168520</v>
      </c>
      <c r="O186" s="115">
        <f t="shared" si="57"/>
        <v>2168520</v>
      </c>
      <c r="P186" s="116">
        <f t="shared" si="58"/>
        <v>50373987.710000001</v>
      </c>
      <c r="Q186" s="116">
        <f t="shared" si="65"/>
        <v>1.7658535252853349</v>
      </c>
      <c r="R186" s="117">
        <f t="shared" si="40"/>
        <v>50373987.710000001</v>
      </c>
      <c r="S186" s="117"/>
      <c r="T186" s="117">
        <f t="shared" si="41"/>
        <v>50373987.710000001</v>
      </c>
      <c r="U186" s="105"/>
      <c r="V186" s="105"/>
      <c r="W186" s="118">
        <v>44278032</v>
      </c>
      <c r="X186" s="118">
        <v>38567870.399999999</v>
      </c>
      <c r="Y186" s="118">
        <v>38567870.399999999</v>
      </c>
      <c r="Z186" s="118"/>
      <c r="AA186" s="118"/>
      <c r="AB186" s="118"/>
      <c r="AC186" s="118"/>
      <c r="AD186" s="118">
        <v>1185520</v>
      </c>
      <c r="AE186" s="118">
        <v>1019915</v>
      </c>
      <c r="AF186" s="118">
        <v>1019915</v>
      </c>
      <c r="AG186" s="138"/>
      <c r="AH186" s="138"/>
      <c r="AI186" s="138"/>
      <c r="AJ186" s="110"/>
      <c r="AK186" s="110">
        <v>315741.08</v>
      </c>
      <c r="AL186" s="110">
        <v>315741.08</v>
      </c>
      <c r="AM186" s="135">
        <f>4908035.71+2400</f>
        <v>4910435.71</v>
      </c>
      <c r="AN186" s="131">
        <v>1.5745093798126671E-2</v>
      </c>
      <c r="AO186" s="141">
        <v>4280993.7966770371</v>
      </c>
      <c r="AP186" s="135">
        <v>4280993.7966770371</v>
      </c>
    </row>
    <row r="187" spans="1:42" ht="110.1" customHeight="1" x14ac:dyDescent="0.25">
      <c r="A187" s="203"/>
      <c r="B187" s="215"/>
      <c r="C187" s="174">
        <f t="shared" si="62"/>
        <v>40</v>
      </c>
      <c r="D187" s="89" t="s">
        <v>187</v>
      </c>
      <c r="E187" s="113">
        <v>800</v>
      </c>
      <c r="F187" s="114">
        <f t="shared" si="61"/>
        <v>87008.923024999996</v>
      </c>
      <c r="G187" s="114">
        <f t="shared" si="53"/>
        <v>87008.923024999996</v>
      </c>
      <c r="H187" s="114">
        <f t="shared" si="54"/>
        <v>87008.923024999996</v>
      </c>
      <c r="I187" s="114">
        <f t="shared" si="55"/>
        <v>69607138.420000002</v>
      </c>
      <c r="J187" s="114">
        <f t="shared" si="56"/>
        <v>69607138.420000002</v>
      </c>
      <c r="K187" s="114">
        <f t="shared" si="63"/>
        <v>69607138.420000002</v>
      </c>
      <c r="L187" s="115">
        <v>2007420</v>
      </c>
      <c r="M187" s="115">
        <f t="shared" si="64"/>
        <v>1.254541292364642</v>
      </c>
      <c r="N187" s="115">
        <f t="shared" si="59"/>
        <v>2007420</v>
      </c>
      <c r="O187" s="115">
        <f t="shared" si="57"/>
        <v>2007420</v>
      </c>
      <c r="P187" s="116">
        <f t="shared" si="58"/>
        <v>71614558.420000002</v>
      </c>
      <c r="Q187" s="116">
        <f t="shared" si="65"/>
        <v>2.5104389427284746</v>
      </c>
      <c r="R187" s="117">
        <f t="shared" si="40"/>
        <v>71614558.420000002</v>
      </c>
      <c r="S187" s="117"/>
      <c r="T187" s="117">
        <f t="shared" si="41"/>
        <v>71614558.420000002</v>
      </c>
      <c r="U187" s="105"/>
      <c r="V187" s="105"/>
      <c r="W187" s="118">
        <v>63995332</v>
      </c>
      <c r="X187" s="118">
        <v>56772250.950000003</v>
      </c>
      <c r="Y187" s="118">
        <v>56772250.950000003</v>
      </c>
      <c r="Z187" s="118"/>
      <c r="AA187" s="118"/>
      <c r="AB187" s="118"/>
      <c r="AC187" s="118"/>
      <c r="AD187" s="118">
        <v>1597610</v>
      </c>
      <c r="AE187" s="118">
        <v>1548230.97</v>
      </c>
      <c r="AF187" s="118">
        <v>1548230.97</v>
      </c>
      <c r="AG187" s="138"/>
      <c r="AH187" s="138"/>
      <c r="AI187" s="138"/>
      <c r="AJ187" s="110"/>
      <c r="AK187" s="110">
        <v>487963.49</v>
      </c>
      <c r="AL187" s="110">
        <v>487963.49</v>
      </c>
      <c r="AM187" s="135">
        <f>6019816.42+1800</f>
        <v>6021616.4199999999</v>
      </c>
      <c r="AN187" s="131">
        <v>1.5129761828307154E-2</v>
      </c>
      <c r="AO187" s="141">
        <v>4220684.9554306269</v>
      </c>
      <c r="AP187" s="135">
        <v>4220684.9554306269</v>
      </c>
    </row>
    <row r="188" spans="1:42" ht="110.1" customHeight="1" x14ac:dyDescent="0.25">
      <c r="A188" s="203"/>
      <c r="B188" s="215"/>
      <c r="C188" s="174">
        <f t="shared" si="62"/>
        <v>41</v>
      </c>
      <c r="D188" s="89" t="s">
        <v>195</v>
      </c>
      <c r="E188" s="113">
        <v>1299</v>
      </c>
      <c r="F188" s="114">
        <f t="shared" si="61"/>
        <v>78117.888806774441</v>
      </c>
      <c r="G188" s="114">
        <f t="shared" si="53"/>
        <v>78117.888806774441</v>
      </c>
      <c r="H188" s="114">
        <f t="shared" si="54"/>
        <v>78117.888806774441</v>
      </c>
      <c r="I188" s="114">
        <f t="shared" si="55"/>
        <v>101475137.56</v>
      </c>
      <c r="J188" s="114">
        <f t="shared" si="56"/>
        <v>101475137.56</v>
      </c>
      <c r="K188" s="114">
        <f t="shared" si="63"/>
        <v>101475137.56</v>
      </c>
      <c r="L188" s="115">
        <v>2272660</v>
      </c>
      <c r="M188" s="115">
        <f t="shared" si="64"/>
        <v>1.4203035804691728</v>
      </c>
      <c r="N188" s="115">
        <f t="shared" si="59"/>
        <v>2272660</v>
      </c>
      <c r="O188" s="115">
        <f t="shared" si="57"/>
        <v>2272660</v>
      </c>
      <c r="P188" s="116">
        <f t="shared" si="58"/>
        <v>103747797.56</v>
      </c>
      <c r="Q188" s="116">
        <f t="shared" si="65"/>
        <v>3.6368654218245777</v>
      </c>
      <c r="R188" s="117">
        <f t="shared" si="40"/>
        <v>103747797.56</v>
      </c>
      <c r="S188" s="117"/>
      <c r="T188" s="117">
        <f t="shared" si="41"/>
        <v>103747797.56</v>
      </c>
      <c r="U188" s="105"/>
      <c r="V188" s="105"/>
      <c r="W188" s="118">
        <v>94445253</v>
      </c>
      <c r="X188" s="118">
        <v>77326703.670000002</v>
      </c>
      <c r="Y188" s="118">
        <v>77326703.670000002</v>
      </c>
      <c r="Z188" s="118"/>
      <c r="AA188" s="118"/>
      <c r="AB188" s="118"/>
      <c r="AC188" s="118"/>
      <c r="AD188" s="118">
        <v>2815610</v>
      </c>
      <c r="AE188" s="118">
        <v>2400879.91</v>
      </c>
      <c r="AF188" s="118">
        <v>2400879.91</v>
      </c>
      <c r="AG188" s="138"/>
      <c r="AH188" s="138"/>
      <c r="AI188" s="138"/>
      <c r="AJ188" s="110"/>
      <c r="AK188" s="110">
        <v>631482.16</v>
      </c>
      <c r="AL188" s="110">
        <v>631482.16</v>
      </c>
      <c r="AM188" s="135">
        <f>6483334.56+3600</f>
        <v>6486934.5599999996</v>
      </c>
      <c r="AN188" s="131">
        <v>1.7636351248326857E-2</v>
      </c>
      <c r="AO188" s="141">
        <v>5247052.718401934</v>
      </c>
      <c r="AP188" s="135">
        <v>5247052.718401934</v>
      </c>
    </row>
    <row r="189" spans="1:42" ht="110.1" customHeight="1" x14ac:dyDescent="0.25">
      <c r="A189" s="203"/>
      <c r="B189" s="215"/>
      <c r="C189" s="174">
        <v>42</v>
      </c>
      <c r="D189" s="89" t="s">
        <v>29</v>
      </c>
      <c r="E189" s="113">
        <v>552</v>
      </c>
      <c r="F189" s="114">
        <f t="shared" si="61"/>
        <v>90262.294583333336</v>
      </c>
      <c r="G189" s="114">
        <f t="shared" si="53"/>
        <v>90262.294583333336</v>
      </c>
      <c r="H189" s="114">
        <f t="shared" si="54"/>
        <v>90262.294583333336</v>
      </c>
      <c r="I189" s="114">
        <f t="shared" si="55"/>
        <v>49824786.609999999</v>
      </c>
      <c r="J189" s="114">
        <f t="shared" si="56"/>
        <v>49824786.609999999</v>
      </c>
      <c r="K189" s="114">
        <f t="shared" si="63"/>
        <v>49824786.609999999</v>
      </c>
      <c r="L189" s="115">
        <v>2000890</v>
      </c>
      <c r="M189" s="115">
        <f t="shared" si="64"/>
        <v>1.2504603553215012</v>
      </c>
      <c r="N189" s="115">
        <f t="shared" si="59"/>
        <v>2000890</v>
      </c>
      <c r="O189" s="115">
        <f t="shared" si="57"/>
        <v>2000890</v>
      </c>
      <c r="P189" s="116">
        <f t="shared" si="58"/>
        <v>51825676.609999999</v>
      </c>
      <c r="Q189" s="116">
        <f t="shared" si="65"/>
        <v>1.816742289074303</v>
      </c>
      <c r="R189" s="117">
        <f t="shared" si="40"/>
        <v>51825676.609999999</v>
      </c>
      <c r="S189" s="117"/>
      <c r="T189" s="117">
        <f t="shared" si="41"/>
        <v>51825676.609999999</v>
      </c>
      <c r="U189" s="105"/>
      <c r="V189" s="105"/>
      <c r="W189" s="118">
        <v>46316433</v>
      </c>
      <c r="X189" s="118">
        <v>39875925.560000002</v>
      </c>
      <c r="Y189" s="118">
        <v>39875925.560000002</v>
      </c>
      <c r="Z189" s="118"/>
      <c r="AA189" s="118"/>
      <c r="AB189" s="118"/>
      <c r="AC189" s="118"/>
      <c r="AD189" s="118">
        <v>1023120</v>
      </c>
      <c r="AE189" s="118">
        <v>1058671.77</v>
      </c>
      <c r="AF189" s="118">
        <v>1058671.77</v>
      </c>
      <c r="AG189" s="138"/>
      <c r="AH189" s="138"/>
      <c r="AI189" s="138"/>
      <c r="AJ189" s="110"/>
      <c r="AK189" s="110">
        <v>330092.95</v>
      </c>
      <c r="AL189" s="110">
        <v>330092.95</v>
      </c>
      <c r="AM189" s="135">
        <f>4484923.61+1200</f>
        <v>4486123.6100000003</v>
      </c>
      <c r="AN189" s="131">
        <v>1.4968203273159897E-2</v>
      </c>
      <c r="AO189" s="141">
        <v>4115184.4066779041</v>
      </c>
      <c r="AP189" s="135">
        <v>4115184.4066779041</v>
      </c>
    </row>
    <row r="190" spans="1:42" ht="110.1" customHeight="1" x14ac:dyDescent="0.25">
      <c r="A190" s="203"/>
      <c r="B190" s="215"/>
      <c r="C190" s="174">
        <v>43</v>
      </c>
      <c r="D190" s="89" t="s">
        <v>182</v>
      </c>
      <c r="E190" s="113">
        <v>646</v>
      </c>
      <c r="F190" s="114">
        <f t="shared" ref="F190:F202" si="66">I190/E190</f>
        <v>90385.878111455109</v>
      </c>
      <c r="G190" s="114">
        <f t="shared" si="53"/>
        <v>90385.878111455109</v>
      </c>
      <c r="H190" s="114">
        <f t="shared" si="54"/>
        <v>90385.878111455109</v>
      </c>
      <c r="I190" s="114">
        <f t="shared" si="55"/>
        <v>58389277.259999998</v>
      </c>
      <c r="J190" s="114">
        <f t="shared" si="56"/>
        <v>58389277.259999998</v>
      </c>
      <c r="K190" s="114">
        <f t="shared" si="63"/>
        <v>58389277.259999998</v>
      </c>
      <c r="L190" s="115">
        <v>3133220</v>
      </c>
      <c r="M190" s="115">
        <f t="shared" si="64"/>
        <v>1.9581123372601366</v>
      </c>
      <c r="N190" s="115">
        <f t="shared" si="59"/>
        <v>3133220</v>
      </c>
      <c r="O190" s="115">
        <f t="shared" si="57"/>
        <v>3133220</v>
      </c>
      <c r="P190" s="116">
        <f t="shared" si="58"/>
        <v>61522497.259999998</v>
      </c>
      <c r="Q190" s="116">
        <f t="shared" si="65"/>
        <v>2.1566630638090563</v>
      </c>
      <c r="R190" s="117">
        <f t="shared" si="40"/>
        <v>61522497.259999998</v>
      </c>
      <c r="S190" s="117"/>
      <c r="T190" s="117">
        <f t="shared" si="41"/>
        <v>61522497.259999998</v>
      </c>
      <c r="U190" s="105"/>
      <c r="V190" s="105"/>
      <c r="W190" s="118">
        <v>52615991</v>
      </c>
      <c r="X190" s="118">
        <v>44914615.340000004</v>
      </c>
      <c r="Y190" s="118">
        <v>44914615.340000004</v>
      </c>
      <c r="Z190" s="118"/>
      <c r="AA190" s="118"/>
      <c r="AB190" s="118"/>
      <c r="AC190" s="118"/>
      <c r="AD190" s="118">
        <v>1364160</v>
      </c>
      <c r="AE190" s="118">
        <v>1150464.1200000001</v>
      </c>
      <c r="AF190" s="118">
        <v>1150464.1200000001</v>
      </c>
      <c r="AG190" s="138"/>
      <c r="AH190" s="138"/>
      <c r="AI190" s="138"/>
      <c r="AJ190" s="110"/>
      <c r="AK190" s="110">
        <v>373148.55</v>
      </c>
      <c r="AL190" s="110">
        <v>373148.55</v>
      </c>
      <c r="AM190" s="135">
        <f>7541146.26+1200</f>
        <v>7542346.2599999998</v>
      </c>
      <c r="AN190" s="131">
        <v>2.223469880341105E-2</v>
      </c>
      <c r="AO190" s="141">
        <v>6161038.3061110955</v>
      </c>
      <c r="AP190" s="135">
        <v>6161038.3061110955</v>
      </c>
    </row>
    <row r="191" spans="1:42" ht="110.1" customHeight="1" x14ac:dyDescent="0.25">
      <c r="A191" s="203"/>
      <c r="B191" s="215"/>
      <c r="C191" s="174">
        <v>44</v>
      </c>
      <c r="D191" s="89" t="s">
        <v>236</v>
      </c>
      <c r="E191" s="137">
        <v>1281</v>
      </c>
      <c r="F191" s="114">
        <f t="shared" si="66"/>
        <v>84615.244059328645</v>
      </c>
      <c r="G191" s="114">
        <f t="shared" si="53"/>
        <v>84615.244059328645</v>
      </c>
      <c r="H191" s="114">
        <f t="shared" si="54"/>
        <v>84615.244059328645</v>
      </c>
      <c r="I191" s="114">
        <f t="shared" si="55"/>
        <v>108392127.64</v>
      </c>
      <c r="J191" s="114">
        <f t="shared" si="56"/>
        <v>108392127.64</v>
      </c>
      <c r="K191" s="114">
        <f t="shared" si="63"/>
        <v>108392127.64</v>
      </c>
      <c r="L191" s="115">
        <v>10329020</v>
      </c>
      <c r="M191" s="115">
        <f t="shared" si="64"/>
        <v>6.4551424712617349</v>
      </c>
      <c r="N191" s="115">
        <f t="shared" si="59"/>
        <v>10329020</v>
      </c>
      <c r="O191" s="115">
        <f t="shared" si="57"/>
        <v>10329020</v>
      </c>
      <c r="P191" s="116">
        <f t="shared" si="58"/>
        <v>118721147.64</v>
      </c>
      <c r="Q191" s="116">
        <f t="shared" si="65"/>
        <v>4.1617542429422789</v>
      </c>
      <c r="R191" s="117">
        <f t="shared" si="40"/>
        <v>118721147.64</v>
      </c>
      <c r="S191" s="117"/>
      <c r="T191" s="117">
        <f t="shared" si="41"/>
        <v>118721147.64</v>
      </c>
      <c r="U191" s="105"/>
      <c r="V191" s="105"/>
      <c r="W191" s="118">
        <f>98766088+1811428.57-203.99</f>
        <v>100577312.58</v>
      </c>
      <c r="X191" s="118">
        <v>86377157.909999996</v>
      </c>
      <c r="Y191" s="118">
        <v>86377157.909999996</v>
      </c>
      <c r="Z191" s="118"/>
      <c r="AA191" s="118"/>
      <c r="AB191" s="118"/>
      <c r="AC191" s="118"/>
      <c r="AD191" s="118">
        <v>2632910</v>
      </c>
      <c r="AE191" s="118">
        <v>2515110.39</v>
      </c>
      <c r="AF191" s="118">
        <v>2515110.39</v>
      </c>
      <c r="AG191" s="138"/>
      <c r="AH191" s="138"/>
      <c r="AI191" s="138"/>
      <c r="AJ191" s="110"/>
      <c r="AK191" s="110">
        <v>703241.49</v>
      </c>
      <c r="AL191" s="110">
        <v>703241.49</v>
      </c>
      <c r="AM191" s="135">
        <f>15510721.06+204</f>
        <v>15510925.060000001</v>
      </c>
      <c r="AN191" s="131">
        <v>5.2586135150215624E-2</v>
      </c>
      <c r="AO191" s="141">
        <v>14302347.973217523</v>
      </c>
      <c r="AP191" s="135">
        <v>14302347.973217523</v>
      </c>
    </row>
    <row r="192" spans="1:42" ht="110.1" customHeight="1" x14ac:dyDescent="0.25">
      <c r="A192" s="203"/>
      <c r="B192" s="215"/>
      <c r="C192" s="174">
        <v>45</v>
      </c>
      <c r="D192" s="89" t="s">
        <v>181</v>
      </c>
      <c r="E192" s="113">
        <v>1218</v>
      </c>
      <c r="F192" s="114">
        <f t="shared" si="66"/>
        <v>58709.743472906404</v>
      </c>
      <c r="G192" s="114">
        <f t="shared" si="53"/>
        <v>58709.743472906404</v>
      </c>
      <c r="H192" s="114">
        <f t="shared" si="54"/>
        <v>58709.743472906404</v>
      </c>
      <c r="I192" s="114">
        <f t="shared" si="55"/>
        <v>71508467.549999997</v>
      </c>
      <c r="J192" s="114">
        <f t="shared" si="56"/>
        <v>71508467.549999997</v>
      </c>
      <c r="K192" s="114">
        <f t="shared" si="63"/>
        <v>71508467.549999997</v>
      </c>
      <c r="L192" s="115">
        <v>11007070</v>
      </c>
      <c r="M192" s="115">
        <f t="shared" si="64"/>
        <v>6.8788912250291805</v>
      </c>
      <c r="N192" s="115">
        <f t="shared" si="59"/>
        <v>11007070</v>
      </c>
      <c r="O192" s="115">
        <f t="shared" si="57"/>
        <v>11007070</v>
      </c>
      <c r="P192" s="116">
        <f t="shared" si="58"/>
        <v>82515537.549999997</v>
      </c>
      <c r="Q192" s="116">
        <f t="shared" si="65"/>
        <v>2.8925713348787787</v>
      </c>
      <c r="R192" s="117">
        <f t="shared" si="40"/>
        <v>82515537.549999997</v>
      </c>
      <c r="S192" s="117"/>
      <c r="T192" s="117">
        <f t="shared" si="41"/>
        <v>82515537.549999997</v>
      </c>
      <c r="U192" s="105"/>
      <c r="V192" s="105"/>
      <c r="W192" s="118">
        <v>63474705</v>
      </c>
      <c r="X192" s="118">
        <v>44299112.420000002</v>
      </c>
      <c r="Y192" s="118">
        <v>44299112.420000002</v>
      </c>
      <c r="Z192" s="118"/>
      <c r="AA192" s="118"/>
      <c r="AB192" s="118"/>
      <c r="AC192" s="118"/>
      <c r="AD192" s="118">
        <v>2744560</v>
      </c>
      <c r="AE192" s="118">
        <v>2029630.85</v>
      </c>
      <c r="AF192" s="118">
        <v>2029630.85</v>
      </c>
      <c r="AG192" s="138"/>
      <c r="AH192" s="138"/>
      <c r="AI192" s="138"/>
      <c r="AJ192" s="110"/>
      <c r="AK192" s="110">
        <v>545370.94999999995</v>
      </c>
      <c r="AL192" s="110">
        <v>545370.94999999995</v>
      </c>
      <c r="AM192" s="135">
        <f>16295072.55+1200</f>
        <v>16296272.550000001</v>
      </c>
      <c r="AN192" s="131">
        <v>5.2133025108271343E-2</v>
      </c>
      <c r="AO192" s="141">
        <v>14344138.623585463</v>
      </c>
      <c r="AP192" s="135">
        <v>14344138.623585463</v>
      </c>
    </row>
    <row r="193" spans="1:46" ht="110.1" customHeight="1" x14ac:dyDescent="0.25">
      <c r="A193" s="203"/>
      <c r="B193" s="216"/>
      <c r="C193" s="174">
        <v>46</v>
      </c>
      <c r="D193" s="89" t="s">
        <v>53</v>
      </c>
      <c r="E193" s="113">
        <v>135</v>
      </c>
      <c r="F193" s="114">
        <f t="shared" si="66"/>
        <v>64006.856148148152</v>
      </c>
      <c r="G193" s="114">
        <f t="shared" si="53"/>
        <v>64006.856148148152</v>
      </c>
      <c r="H193" s="114">
        <f t="shared" si="54"/>
        <v>64006.856148148152</v>
      </c>
      <c r="I193" s="114">
        <f t="shared" si="55"/>
        <v>8640925.5800000001</v>
      </c>
      <c r="J193" s="114">
        <f t="shared" si="56"/>
        <v>8640925.5800000001</v>
      </c>
      <c r="K193" s="114">
        <f t="shared" si="63"/>
        <v>8640925.5800000001</v>
      </c>
      <c r="L193" s="115">
        <v>697890</v>
      </c>
      <c r="M193" s="115">
        <f t="shared" si="64"/>
        <v>0.43614780291536387</v>
      </c>
      <c r="N193" s="115">
        <f>L193</f>
        <v>697890</v>
      </c>
      <c r="O193" s="115">
        <f>L193</f>
        <v>697890</v>
      </c>
      <c r="P193" s="116">
        <f>W193+Z193+AD193+AJ193+AM193</f>
        <v>9338815.5800000001</v>
      </c>
      <c r="Q193" s="116">
        <f t="shared" si="65"/>
        <v>0.32737095401043459</v>
      </c>
      <c r="R193" s="117">
        <f t="shared" si="40"/>
        <v>9338815.5800000001</v>
      </c>
      <c r="S193" s="117"/>
      <c r="T193" s="117">
        <f t="shared" si="41"/>
        <v>9338815.5800000001</v>
      </c>
      <c r="U193" s="105"/>
      <c r="V193" s="105"/>
      <c r="W193" s="118">
        <v>7256687</v>
      </c>
      <c r="X193" s="118">
        <v>6862058.0999999996</v>
      </c>
      <c r="Y193" s="118">
        <v>6862058.0999999996</v>
      </c>
      <c r="Z193" s="118"/>
      <c r="AA193" s="118"/>
      <c r="AB193" s="118"/>
      <c r="AC193" s="118"/>
      <c r="AD193" s="118">
        <v>284200</v>
      </c>
      <c r="AE193" s="118">
        <v>259058.41</v>
      </c>
      <c r="AF193" s="118">
        <v>259058.41</v>
      </c>
      <c r="AG193" s="138"/>
      <c r="AH193" s="138"/>
      <c r="AI193" s="138"/>
      <c r="AJ193" s="110"/>
      <c r="AK193" s="110">
        <v>86111.22</v>
      </c>
      <c r="AL193" s="110">
        <v>86111.22</v>
      </c>
      <c r="AM193" s="135">
        <f>1797328.58+600</f>
        <v>1797928.58</v>
      </c>
      <c r="AN193" s="131">
        <v>6.157422352472899E-3</v>
      </c>
      <c r="AO193" s="141">
        <v>2226883.4049445144</v>
      </c>
      <c r="AP193" s="135">
        <v>2226883.4049445144</v>
      </c>
    </row>
    <row r="194" spans="1:46" ht="57.75" customHeight="1" x14ac:dyDescent="0.25">
      <c r="A194" s="175"/>
      <c r="B194" s="175" t="s">
        <v>151</v>
      </c>
      <c r="C194" s="174"/>
      <c r="D194" s="120"/>
      <c r="E194" s="129">
        <f>SUM(E145:E193)</f>
        <v>31036</v>
      </c>
      <c r="F194" s="133">
        <f t="shared" ref="F194:O194" si="67">SUM(F145:F193)</f>
        <v>6076434.3752106512</v>
      </c>
      <c r="G194" s="133">
        <f t="shared" si="67"/>
        <v>6118039.3970105229</v>
      </c>
      <c r="H194" s="133">
        <f t="shared" si="67"/>
        <v>6118039.3970105229</v>
      </c>
      <c r="I194" s="134">
        <f t="shared" si="67"/>
        <v>2692658520.0000005</v>
      </c>
      <c r="J194" s="134">
        <f t="shared" si="67"/>
        <v>2692658520.0000005</v>
      </c>
      <c r="K194" s="134">
        <f t="shared" si="67"/>
        <v>2692658520.0000005</v>
      </c>
      <c r="L194" s="134">
        <f t="shared" si="67"/>
        <v>160012270</v>
      </c>
      <c r="M194" s="134">
        <f t="shared" si="67"/>
        <v>99.999999999999986</v>
      </c>
      <c r="N194" s="134">
        <f t="shared" si="67"/>
        <v>160012270</v>
      </c>
      <c r="O194" s="134">
        <f t="shared" si="67"/>
        <v>160012270</v>
      </c>
      <c r="P194" s="134">
        <f>W194+Z194+AD194+AJ194+AM194</f>
        <v>2852670789.9999995</v>
      </c>
      <c r="Q194" s="134"/>
      <c r="R194" s="127">
        <f t="shared" si="40"/>
        <v>2852670789.9999995</v>
      </c>
      <c r="S194" s="127"/>
      <c r="T194" s="127">
        <f t="shared" si="41"/>
        <v>2852670789.9999995</v>
      </c>
      <c r="U194" s="105"/>
      <c r="V194" s="140">
        <f>SUM(V145:V193)</f>
        <v>0</v>
      </c>
      <c r="W194" s="140">
        <f>SUM(W145:W193)</f>
        <v>2398059999.9999995</v>
      </c>
      <c r="X194" s="140">
        <f t="shared" ref="X194:AA194" si="68">SUM(X145:X193)</f>
        <v>2070432999.9999998</v>
      </c>
      <c r="Y194" s="140">
        <f t="shared" si="68"/>
        <v>2070432999.9999998</v>
      </c>
      <c r="Z194" s="140">
        <f t="shared" si="68"/>
        <v>727000</v>
      </c>
      <c r="AA194" s="140">
        <f t="shared" si="68"/>
        <v>830000</v>
      </c>
      <c r="AB194" s="140">
        <f>SUM(AB145:AB193)</f>
        <v>830000</v>
      </c>
      <c r="AC194" s="140">
        <f>SUM(AC145:AC193)</f>
        <v>0</v>
      </c>
      <c r="AD194" s="140">
        <f>SUM(AD145:AD193)</f>
        <v>63315000</v>
      </c>
      <c r="AE194" s="140">
        <f t="shared" ref="AE194:AF194" si="69">SUM(AE145:AE193)</f>
        <v>58435000.000000022</v>
      </c>
      <c r="AF194" s="140">
        <f t="shared" si="69"/>
        <v>58435000.000000022</v>
      </c>
      <c r="AG194" s="140">
        <f>SUM(AG145:AG193)</f>
        <v>0</v>
      </c>
      <c r="AH194" s="140"/>
      <c r="AI194" s="140"/>
      <c r="AJ194" s="146">
        <f>SUM(AJ145:AJ193)</f>
        <v>0</v>
      </c>
      <c r="AK194" s="146">
        <f t="shared" ref="AK194:AL194" si="70">SUM(AK145:AK193)</f>
        <v>17293999.999999996</v>
      </c>
      <c r="AL194" s="146">
        <f t="shared" si="70"/>
        <v>17293999.999999996</v>
      </c>
      <c r="AM194" s="140">
        <f>SUM(AM145:AM193)</f>
        <v>390568790.00000006</v>
      </c>
      <c r="AN194" s="140"/>
      <c r="AO194" s="140">
        <f t="shared" ref="AO194" si="71">SUM(AO145:AO193)</f>
        <v>326415470</v>
      </c>
      <c r="AP194" s="140">
        <f>SUM(AP145:AP193)</f>
        <v>326415470</v>
      </c>
      <c r="AT194" s="147"/>
    </row>
    <row r="195" spans="1:46" ht="110.1" hidden="1" customHeight="1" x14ac:dyDescent="0.25">
      <c r="A195" s="175"/>
      <c r="B195" s="175"/>
      <c r="C195" s="174"/>
      <c r="D195" s="120"/>
      <c r="E195" s="129"/>
      <c r="F195" s="133"/>
      <c r="G195" s="133"/>
      <c r="H195" s="133"/>
      <c r="I195" s="134"/>
      <c r="J195" s="134"/>
      <c r="K195" s="134"/>
      <c r="L195" s="134"/>
      <c r="M195" s="134"/>
      <c r="N195" s="134"/>
      <c r="O195" s="134"/>
      <c r="P195" s="116">
        <f t="shared" si="58"/>
        <v>0</v>
      </c>
      <c r="Q195" s="134"/>
      <c r="R195" s="117">
        <f t="shared" si="40"/>
        <v>0</v>
      </c>
      <c r="S195" s="117"/>
      <c r="T195" s="117">
        <f t="shared" si="41"/>
        <v>0</v>
      </c>
      <c r="U195" s="105"/>
      <c r="V195" s="140"/>
      <c r="W195" s="140"/>
      <c r="X195" s="140"/>
      <c r="Y195" s="140"/>
      <c r="Z195" s="140"/>
      <c r="AA195" s="140"/>
      <c r="AB195" s="140"/>
      <c r="AC195" s="140"/>
      <c r="AD195" s="140"/>
      <c r="AE195" s="140"/>
      <c r="AF195" s="140"/>
      <c r="AG195" s="140"/>
      <c r="AH195" s="140"/>
      <c r="AI195" s="140"/>
      <c r="AJ195" s="180"/>
      <c r="AK195" s="132"/>
      <c r="AL195" s="132"/>
      <c r="AM195" s="140"/>
      <c r="AN195" s="140"/>
      <c r="AO195" s="140"/>
      <c r="AP195" s="140"/>
    </row>
    <row r="196" spans="1:46" ht="110.1" customHeight="1" x14ac:dyDescent="0.25">
      <c r="A196" s="203" t="s">
        <v>148</v>
      </c>
      <c r="B196" s="204" t="s">
        <v>212</v>
      </c>
      <c r="C196" s="174">
        <v>1</v>
      </c>
      <c r="D196" s="89" t="s">
        <v>198</v>
      </c>
      <c r="E196" s="186">
        <v>2635</v>
      </c>
      <c r="F196" s="114">
        <f>I196/E196</f>
        <v>9207.9727324478172</v>
      </c>
      <c r="G196" s="114">
        <f>J196/E196</f>
        <v>9207.9727324478172</v>
      </c>
      <c r="H196" s="114">
        <f>K196/E196</f>
        <v>9207.9727324478172</v>
      </c>
      <c r="I196" s="114">
        <f t="shared" si="55"/>
        <v>24263008.149999999</v>
      </c>
      <c r="J196" s="114">
        <f>R196-N196</f>
        <v>24263008.149999999</v>
      </c>
      <c r="K196" s="114">
        <f t="shared" ref="K196:K202" si="72">T196-O196</f>
        <v>24263008.149999999</v>
      </c>
      <c r="L196" s="149">
        <v>537480</v>
      </c>
      <c r="M196" s="149">
        <f t="shared" ref="M196:M202" si="73">L196/L$203*100</f>
        <v>7.3418606811314664</v>
      </c>
      <c r="N196" s="149">
        <f>L196</f>
        <v>537480</v>
      </c>
      <c r="O196" s="149">
        <f>L196</f>
        <v>537480</v>
      </c>
      <c r="P196" s="116">
        <f t="shared" si="58"/>
        <v>24800488.149999999</v>
      </c>
      <c r="Q196" s="150">
        <f t="shared" ref="Q196:Q202" si="74">P196/P$203*100</f>
        <v>12.41268841577123</v>
      </c>
      <c r="R196" s="117">
        <f t="shared" si="40"/>
        <v>24800488.149999999</v>
      </c>
      <c r="S196" s="117"/>
      <c r="T196" s="117">
        <f t="shared" si="41"/>
        <v>24800488.149999999</v>
      </c>
      <c r="U196" s="105"/>
      <c r="V196" s="105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81"/>
      <c r="AK196" s="152"/>
      <c r="AL196" s="152"/>
      <c r="AM196" s="93">
        <v>24800488.149999999</v>
      </c>
      <c r="AN196" s="153">
        <f>AM196/AM203</f>
        <v>0.12412688415771231</v>
      </c>
      <c r="AO196" s="153">
        <v>30981807.653753579</v>
      </c>
      <c r="AP196" s="153">
        <v>30981807.653753579</v>
      </c>
      <c r="AT196" s="147"/>
    </row>
    <row r="197" spans="1:46" ht="110.1" customHeight="1" x14ac:dyDescent="0.25">
      <c r="A197" s="203"/>
      <c r="B197" s="204"/>
      <c r="C197" s="174">
        <v>2</v>
      </c>
      <c r="D197" s="89" t="s">
        <v>199</v>
      </c>
      <c r="E197" s="186">
        <v>1508</v>
      </c>
      <c r="F197" s="114">
        <f t="shared" si="66"/>
        <v>19469.609515915119</v>
      </c>
      <c r="G197" s="114">
        <f t="shared" ref="G197:G202" si="75">J197/E197</f>
        <v>19469.609515915119</v>
      </c>
      <c r="H197" s="114">
        <f t="shared" ref="H197:H202" si="76">K197/E197</f>
        <v>19469.609515915119</v>
      </c>
      <c r="I197" s="114">
        <f t="shared" si="55"/>
        <v>29360171.149999999</v>
      </c>
      <c r="J197" s="114">
        <f t="shared" ref="J197:J202" si="77">R197-N197</f>
        <v>29360171.149999999</v>
      </c>
      <c r="K197" s="114">
        <f t="shared" si="72"/>
        <v>29360171.149999999</v>
      </c>
      <c r="L197" s="149">
        <v>2291380</v>
      </c>
      <c r="M197" s="149">
        <f t="shared" si="73"/>
        <v>31.299755763062855</v>
      </c>
      <c r="N197" s="149">
        <f t="shared" ref="N197:N201" si="78">L197</f>
        <v>2291380</v>
      </c>
      <c r="O197" s="149">
        <f t="shared" ref="O197:O201" si="79">L197</f>
        <v>2291380</v>
      </c>
      <c r="P197" s="116">
        <f t="shared" si="58"/>
        <v>31651551.149999999</v>
      </c>
      <c r="Q197" s="150">
        <f t="shared" si="74"/>
        <v>15.84165762885581</v>
      </c>
      <c r="R197" s="117">
        <f t="shared" si="40"/>
        <v>31651551.149999999</v>
      </c>
      <c r="S197" s="117"/>
      <c r="T197" s="117">
        <f t="shared" si="41"/>
        <v>31651551.149999999</v>
      </c>
      <c r="U197" s="105"/>
      <c r="V197" s="105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38"/>
      <c r="AH197" s="138"/>
      <c r="AI197" s="138"/>
      <c r="AJ197" s="110"/>
      <c r="AK197" s="111"/>
      <c r="AL197" s="111"/>
      <c r="AM197" s="93">
        <v>31651551.149999999</v>
      </c>
      <c r="AN197" s="153">
        <f>AM197/AM203</f>
        <v>0.1584165762885581</v>
      </c>
      <c r="AO197" s="153">
        <v>35249391.268835284</v>
      </c>
      <c r="AP197" s="153">
        <v>35249391.268835284</v>
      </c>
    </row>
    <row r="198" spans="1:46" ht="110.1" customHeight="1" x14ac:dyDescent="0.25">
      <c r="A198" s="203"/>
      <c r="B198" s="204"/>
      <c r="C198" s="174">
        <v>3</v>
      </c>
      <c r="D198" s="89" t="s">
        <v>200</v>
      </c>
      <c r="E198" s="186">
        <v>982</v>
      </c>
      <c r="F198" s="114">
        <f t="shared" si="66"/>
        <v>31501.304633401222</v>
      </c>
      <c r="G198" s="114">
        <f t="shared" si="75"/>
        <v>31501.304633401222</v>
      </c>
      <c r="H198" s="114">
        <f t="shared" si="76"/>
        <v>31501.304633401222</v>
      </c>
      <c r="I198" s="114">
        <f t="shared" si="55"/>
        <v>30934281.149999999</v>
      </c>
      <c r="J198" s="114">
        <f t="shared" si="77"/>
        <v>30934281.149999999</v>
      </c>
      <c r="K198" s="114">
        <f t="shared" si="72"/>
        <v>30934281.149999999</v>
      </c>
      <c r="L198" s="149">
        <v>1536740</v>
      </c>
      <c r="M198" s="149">
        <f t="shared" si="73"/>
        <v>20.99153639786033</v>
      </c>
      <c r="N198" s="149">
        <f t="shared" si="78"/>
        <v>1536740</v>
      </c>
      <c r="O198" s="149">
        <f t="shared" si="79"/>
        <v>1536740</v>
      </c>
      <c r="P198" s="116">
        <f t="shared" si="58"/>
        <v>32471021.149999999</v>
      </c>
      <c r="Q198" s="150">
        <f t="shared" si="74"/>
        <v>16.251803820920664</v>
      </c>
      <c r="R198" s="117">
        <f t="shared" si="40"/>
        <v>32471021.149999999</v>
      </c>
      <c r="S198" s="117"/>
      <c r="T198" s="117">
        <f t="shared" si="41"/>
        <v>32471021.149999999</v>
      </c>
      <c r="U198" s="105"/>
      <c r="V198" s="105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05"/>
      <c r="AH198" s="105"/>
      <c r="AI198" s="105"/>
      <c r="AJ198" s="110"/>
      <c r="AK198" s="111"/>
      <c r="AL198" s="111"/>
      <c r="AM198" s="93">
        <v>32471021.149999999</v>
      </c>
      <c r="AN198" s="153">
        <f>AM198/AM203</f>
        <v>0.16251803820920663</v>
      </c>
      <c r="AO198" s="153">
        <v>32451965.037879657</v>
      </c>
      <c r="AP198" s="153">
        <v>32451965.037879657</v>
      </c>
    </row>
    <row r="199" spans="1:46" ht="110.1" customHeight="1" x14ac:dyDescent="0.25">
      <c r="A199" s="203"/>
      <c r="B199" s="204"/>
      <c r="C199" s="174">
        <v>4</v>
      </c>
      <c r="D199" s="89" t="s">
        <v>239</v>
      </c>
      <c r="E199" s="186">
        <v>2450</v>
      </c>
      <c r="F199" s="114">
        <f t="shared" si="66"/>
        <v>16956.411081632654</v>
      </c>
      <c r="G199" s="114">
        <f t="shared" si="75"/>
        <v>16956.411081632654</v>
      </c>
      <c r="H199" s="114">
        <f t="shared" si="76"/>
        <v>16956.411081632654</v>
      </c>
      <c r="I199" s="114">
        <f t="shared" si="55"/>
        <v>41543207.149999999</v>
      </c>
      <c r="J199" s="114">
        <f t="shared" si="77"/>
        <v>41543207.149999999</v>
      </c>
      <c r="K199" s="114">
        <f t="shared" si="72"/>
        <v>41543207.149999999</v>
      </c>
      <c r="L199" s="149">
        <v>551210</v>
      </c>
      <c r="M199" s="149">
        <f t="shared" si="73"/>
        <v>7.5294095148591129</v>
      </c>
      <c r="N199" s="149">
        <f t="shared" si="78"/>
        <v>551210</v>
      </c>
      <c r="O199" s="149">
        <f t="shared" si="79"/>
        <v>551210</v>
      </c>
      <c r="P199" s="116">
        <f t="shared" si="58"/>
        <v>42094417.149999999</v>
      </c>
      <c r="Q199" s="150">
        <f t="shared" si="74"/>
        <v>21.068330629872978</v>
      </c>
      <c r="R199" s="117">
        <f t="shared" ref="R199:R209" si="80">P199</f>
        <v>42094417.149999999</v>
      </c>
      <c r="S199" s="117"/>
      <c r="T199" s="117">
        <f t="shared" ref="T199:T209" si="81">P199</f>
        <v>42094417.149999999</v>
      </c>
      <c r="U199" s="105"/>
      <c r="V199" s="105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05"/>
      <c r="AH199" s="105"/>
      <c r="AI199" s="105"/>
      <c r="AJ199" s="110"/>
      <c r="AK199" s="111"/>
      <c r="AL199" s="111"/>
      <c r="AM199" s="93">
        <v>42094417.149999999</v>
      </c>
      <c r="AN199" s="153">
        <f>AM199/AM203</f>
        <v>0.21068330629872978</v>
      </c>
      <c r="AO199" s="153">
        <v>46866342.455426343</v>
      </c>
      <c r="AP199" s="153">
        <v>46866342.455426343</v>
      </c>
    </row>
    <row r="200" spans="1:46" ht="110.1" customHeight="1" x14ac:dyDescent="0.25">
      <c r="A200" s="203"/>
      <c r="B200" s="204"/>
      <c r="C200" s="174">
        <v>5</v>
      </c>
      <c r="D200" s="89" t="s">
        <v>202</v>
      </c>
      <c r="E200" s="186">
        <v>781</v>
      </c>
      <c r="F200" s="114">
        <f t="shared" si="66"/>
        <v>29025.326696542892</v>
      </c>
      <c r="G200" s="114">
        <f t="shared" si="75"/>
        <v>29025.326696542892</v>
      </c>
      <c r="H200" s="114">
        <f t="shared" si="76"/>
        <v>29025.326696542892</v>
      </c>
      <c r="I200" s="114">
        <f t="shared" si="55"/>
        <v>22668780.149999999</v>
      </c>
      <c r="J200" s="114">
        <f t="shared" si="77"/>
        <v>22668780.149999999</v>
      </c>
      <c r="K200" s="114">
        <f t="shared" si="72"/>
        <v>22668780.149999999</v>
      </c>
      <c r="L200" s="149">
        <v>596810</v>
      </c>
      <c r="M200" s="149">
        <f t="shared" si="73"/>
        <v>8.15229566329179</v>
      </c>
      <c r="N200" s="149">
        <f t="shared" si="78"/>
        <v>596810</v>
      </c>
      <c r="O200" s="149">
        <f t="shared" si="79"/>
        <v>596810</v>
      </c>
      <c r="P200" s="116">
        <f t="shared" si="58"/>
        <v>23265590.149999999</v>
      </c>
      <c r="Q200" s="150">
        <f t="shared" si="74"/>
        <v>11.644469237634189</v>
      </c>
      <c r="R200" s="117">
        <f t="shared" si="80"/>
        <v>23265590.149999999</v>
      </c>
      <c r="S200" s="117"/>
      <c r="T200" s="117">
        <f t="shared" si="81"/>
        <v>23265590.149999999</v>
      </c>
      <c r="U200" s="105"/>
      <c r="V200" s="105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05"/>
      <c r="AH200" s="105"/>
      <c r="AI200" s="105"/>
      <c r="AJ200" s="110"/>
      <c r="AK200" s="111"/>
      <c r="AL200" s="111"/>
      <c r="AM200" s="93">
        <v>23265590.149999999</v>
      </c>
      <c r="AN200" s="153">
        <f>AM200/AM203</f>
        <v>0.11644469237634189</v>
      </c>
      <c r="AO200" s="153">
        <v>24912792.787423808</v>
      </c>
      <c r="AP200" s="153">
        <v>24912792.787423808</v>
      </c>
    </row>
    <row r="201" spans="1:46" ht="110.1" customHeight="1" x14ac:dyDescent="0.25">
      <c r="A201" s="203"/>
      <c r="B201" s="204"/>
      <c r="C201" s="174">
        <v>6</v>
      </c>
      <c r="D201" s="89" t="s">
        <v>203</v>
      </c>
      <c r="E201" s="186">
        <v>1465</v>
      </c>
      <c r="F201" s="114">
        <f t="shared" si="66"/>
        <v>17538.447918088736</v>
      </c>
      <c r="G201" s="114">
        <f t="shared" si="75"/>
        <v>17538.447918088736</v>
      </c>
      <c r="H201" s="114">
        <f t="shared" si="76"/>
        <v>17538.447918088736</v>
      </c>
      <c r="I201" s="114">
        <f t="shared" si="55"/>
        <v>25693826.199999999</v>
      </c>
      <c r="J201" s="114">
        <f t="shared" si="77"/>
        <v>25693826.199999999</v>
      </c>
      <c r="K201" s="114">
        <f t="shared" si="72"/>
        <v>25693826.199999999</v>
      </c>
      <c r="L201" s="149">
        <v>432730</v>
      </c>
      <c r="M201" s="149">
        <f t="shared" si="73"/>
        <v>5.9109983116507028</v>
      </c>
      <c r="N201" s="149">
        <f t="shared" si="78"/>
        <v>432730</v>
      </c>
      <c r="O201" s="149">
        <f t="shared" si="79"/>
        <v>432730</v>
      </c>
      <c r="P201" s="116">
        <f>W201+Z201+AD201+AJ201+AM201</f>
        <v>26126556.199999999</v>
      </c>
      <c r="Q201" s="150">
        <f t="shared" si="74"/>
        <v>13.076387832621595</v>
      </c>
      <c r="R201" s="117">
        <f t="shared" si="80"/>
        <v>26126556.199999999</v>
      </c>
      <c r="S201" s="117"/>
      <c r="T201" s="117">
        <f t="shared" si="81"/>
        <v>26126556.199999999</v>
      </c>
      <c r="U201" s="105"/>
      <c r="V201" s="105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05"/>
      <c r="AH201" s="105"/>
      <c r="AI201" s="105"/>
      <c r="AJ201" s="110"/>
      <c r="AK201" s="111"/>
      <c r="AL201" s="111"/>
      <c r="AM201" s="93">
        <v>26126556.199999999</v>
      </c>
      <c r="AN201" s="153">
        <f>AM201/AM203</f>
        <v>0.13076387832621594</v>
      </c>
      <c r="AO201" s="153">
        <v>28894532.795922406</v>
      </c>
      <c r="AP201" s="153">
        <v>28894532.795922406</v>
      </c>
    </row>
    <row r="202" spans="1:46" ht="110.1" customHeight="1" x14ac:dyDescent="0.25">
      <c r="A202" s="203"/>
      <c r="B202" s="204"/>
      <c r="C202" s="174">
        <v>7</v>
      </c>
      <c r="D202" s="89" t="s">
        <v>204</v>
      </c>
      <c r="E202" s="186">
        <v>710</v>
      </c>
      <c r="F202" s="114">
        <f t="shared" si="66"/>
        <v>25373.881760563381</v>
      </c>
      <c r="G202" s="114">
        <f t="shared" si="75"/>
        <v>25373.881760563381</v>
      </c>
      <c r="H202" s="114">
        <f t="shared" si="76"/>
        <v>25373.881760563381</v>
      </c>
      <c r="I202" s="114">
        <f t="shared" si="55"/>
        <v>18015456.050000001</v>
      </c>
      <c r="J202" s="114">
        <f t="shared" si="77"/>
        <v>18015456.050000001</v>
      </c>
      <c r="K202" s="114">
        <f t="shared" si="72"/>
        <v>18015456.050000001</v>
      </c>
      <c r="L202" s="149">
        <v>1374410</v>
      </c>
      <c r="M202" s="149">
        <f t="shared" si="73"/>
        <v>18.774143668143743</v>
      </c>
      <c r="N202" s="149">
        <f>L202</f>
        <v>1374410</v>
      </c>
      <c r="O202" s="149">
        <f>L202</f>
        <v>1374410</v>
      </c>
      <c r="P202" s="116">
        <f t="shared" si="58"/>
        <v>19389866.050000001</v>
      </c>
      <c r="Q202" s="150">
        <f t="shared" si="74"/>
        <v>9.7046624343235308</v>
      </c>
      <c r="R202" s="117">
        <f t="shared" si="80"/>
        <v>19389866.050000001</v>
      </c>
      <c r="S202" s="117"/>
      <c r="T202" s="117">
        <f t="shared" si="81"/>
        <v>19389866.050000001</v>
      </c>
      <c r="U202" s="105"/>
      <c r="V202" s="105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05"/>
      <c r="AH202" s="105"/>
      <c r="AI202" s="105"/>
      <c r="AJ202" s="110"/>
      <c r="AK202" s="111"/>
      <c r="AL202" s="111"/>
      <c r="AM202" s="93">
        <v>19389866.050000001</v>
      </c>
      <c r="AN202" s="153">
        <f>AM202/AM203</f>
        <v>9.7046624343235313E-2</v>
      </c>
      <c r="AO202" s="153">
        <v>22418586.101119243</v>
      </c>
      <c r="AP202" s="153">
        <v>22418586.101119243</v>
      </c>
    </row>
    <row r="203" spans="1:46" ht="49.5" customHeight="1" x14ac:dyDescent="0.25">
      <c r="A203" s="174"/>
      <c r="B203" s="174" t="s">
        <v>151</v>
      </c>
      <c r="C203" s="174"/>
      <c r="D203" s="120"/>
      <c r="E203" s="187">
        <f t="shared" ref="E203:Q203" si="82">SUM(E196:E202)</f>
        <v>10531</v>
      </c>
      <c r="F203" s="123">
        <f t="shared" si="82"/>
        <v>149072.95433859184</v>
      </c>
      <c r="G203" s="123">
        <f t="shared" si="82"/>
        <v>149072.95433859184</v>
      </c>
      <c r="H203" s="123">
        <f t="shared" si="82"/>
        <v>149072.95433859184</v>
      </c>
      <c r="I203" s="123">
        <f t="shared" si="82"/>
        <v>192478730</v>
      </c>
      <c r="J203" s="123">
        <f t="shared" si="82"/>
        <v>192478730</v>
      </c>
      <c r="K203" s="123">
        <f t="shared" si="82"/>
        <v>192478730</v>
      </c>
      <c r="L203" s="123">
        <f t="shared" si="82"/>
        <v>7320760</v>
      </c>
      <c r="M203" s="123">
        <f t="shared" si="82"/>
        <v>100</v>
      </c>
      <c r="N203" s="123">
        <f t="shared" si="82"/>
        <v>7320760</v>
      </c>
      <c r="O203" s="123">
        <f t="shared" si="82"/>
        <v>7320760</v>
      </c>
      <c r="P203" s="123">
        <f t="shared" si="82"/>
        <v>199799490</v>
      </c>
      <c r="Q203" s="123">
        <f t="shared" si="82"/>
        <v>100</v>
      </c>
      <c r="R203" s="192">
        <f t="shared" si="80"/>
        <v>199799490</v>
      </c>
      <c r="S203" s="192"/>
      <c r="T203" s="192">
        <f t="shared" si="81"/>
        <v>199799490</v>
      </c>
      <c r="U203" s="119"/>
      <c r="V203" s="119"/>
      <c r="W203" s="154">
        <f>SUM(W196:W202)</f>
        <v>0</v>
      </c>
      <c r="X203" s="154">
        <f>SUM(X196:X202)</f>
        <v>0</v>
      </c>
      <c r="Y203" s="154">
        <f>SUM(Y196:Y202)</f>
        <v>0</v>
      </c>
      <c r="Z203" s="154">
        <f>SUM(Z196:Z202)</f>
        <v>0</v>
      </c>
      <c r="AA203" s="154"/>
      <c r="AB203" s="154">
        <f>SUM(AB196:AB202)</f>
        <v>0</v>
      </c>
      <c r="AC203" s="154">
        <f>SUM(AC196:AC202)</f>
        <v>0</v>
      </c>
      <c r="AD203" s="154">
        <f>SUM(AD196:AD202)</f>
        <v>0</v>
      </c>
      <c r="AE203" s="154"/>
      <c r="AF203" s="154"/>
      <c r="AG203" s="154">
        <f>SUM(AG196:AG202)</f>
        <v>0</v>
      </c>
      <c r="AH203" s="154">
        <f>SUM(AH196:AH202)</f>
        <v>0</v>
      </c>
      <c r="AI203" s="154">
        <f>SUM(AI196:AI202)</f>
        <v>0</v>
      </c>
      <c r="AJ203" s="182">
        <f>SUM(AJ196:AJ202)</f>
        <v>0</v>
      </c>
      <c r="AK203" s="155"/>
      <c r="AL203" s="155"/>
      <c r="AM203" s="156">
        <f>SUM(AM196:AM202)</f>
        <v>199799490</v>
      </c>
      <c r="AN203" s="156"/>
      <c r="AO203" s="156">
        <f t="shared" ref="AO203:AP203" si="83">SUM(AO196:AO202)</f>
        <v>221775418.10036033</v>
      </c>
      <c r="AP203" s="156">
        <f t="shared" si="83"/>
        <v>221775418.10036033</v>
      </c>
      <c r="AQ203" s="3"/>
      <c r="AR203" s="3"/>
      <c r="AS203" s="3"/>
    </row>
    <row r="204" spans="1:46" ht="110.1" hidden="1" customHeight="1" x14ac:dyDescent="0.25">
      <c r="A204" s="174"/>
      <c r="B204" s="174"/>
      <c r="C204" s="174"/>
      <c r="D204" s="120"/>
      <c r="E204" s="157"/>
      <c r="F204" s="133"/>
      <c r="G204" s="133"/>
      <c r="H204" s="133"/>
      <c r="I204" s="133"/>
      <c r="J204" s="133"/>
      <c r="K204" s="133"/>
      <c r="L204" s="158"/>
      <c r="M204" s="158"/>
      <c r="N204" s="158"/>
      <c r="O204" s="158"/>
      <c r="P204" s="158">
        <f>SUM(P196:P202)</f>
        <v>199799490</v>
      </c>
      <c r="Q204" s="158">
        <f>SUM(Q196:Q203)</f>
        <v>200</v>
      </c>
      <c r="R204" s="117">
        <f t="shared" si="80"/>
        <v>199799490</v>
      </c>
      <c r="S204" s="117"/>
      <c r="T204" s="117">
        <f t="shared" si="81"/>
        <v>199799490</v>
      </c>
      <c r="U204" s="105"/>
      <c r="V204" s="105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0"/>
      <c r="AK204" s="111"/>
      <c r="AL204" s="111"/>
      <c r="AM204" s="131"/>
      <c r="AN204" s="131"/>
      <c r="AO204" s="131">
        <f>SUM(AO196:AO203)</f>
        <v>443550836.20072067</v>
      </c>
      <c r="AP204" s="131"/>
    </row>
    <row r="205" spans="1:46" ht="189" customHeight="1" x14ac:dyDescent="0.25">
      <c r="A205" s="176" t="s">
        <v>168</v>
      </c>
      <c r="B205" s="177" t="s">
        <v>167</v>
      </c>
      <c r="C205" s="174">
        <v>1</v>
      </c>
      <c r="D205" s="89" t="s">
        <v>206</v>
      </c>
      <c r="E205" s="148">
        <v>0</v>
      </c>
      <c r="F205" s="114">
        <v>0</v>
      </c>
      <c r="G205" s="114">
        <v>0</v>
      </c>
      <c r="H205" s="114">
        <v>0</v>
      </c>
      <c r="I205" s="114">
        <f>P205-L205</f>
        <v>28214830</v>
      </c>
      <c r="J205" s="114">
        <f>R205-N205</f>
        <v>28214830</v>
      </c>
      <c r="K205" s="114">
        <f>T205-O205</f>
        <v>28214830</v>
      </c>
      <c r="L205" s="115">
        <v>3036260</v>
      </c>
      <c r="M205" s="115">
        <f>L206/L205*100</f>
        <v>100</v>
      </c>
      <c r="N205" s="115">
        <f>L205</f>
        <v>3036260</v>
      </c>
      <c r="O205" s="115">
        <f>L205</f>
        <v>3036260</v>
      </c>
      <c r="P205" s="116">
        <f>AM205</f>
        <v>31251090</v>
      </c>
      <c r="Q205" s="116">
        <f>P206/P205*100</f>
        <v>100</v>
      </c>
      <c r="R205" s="117">
        <f t="shared" si="80"/>
        <v>31251090</v>
      </c>
      <c r="S205" s="117"/>
      <c r="T205" s="117">
        <f t="shared" si="81"/>
        <v>31251090</v>
      </c>
      <c r="U205" s="105"/>
      <c r="V205" s="105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05"/>
      <c r="AH205" s="105"/>
      <c r="AI205" s="105"/>
      <c r="AJ205" s="110"/>
      <c r="AK205" s="111"/>
      <c r="AL205" s="111"/>
      <c r="AM205" s="153">
        <v>31251090</v>
      </c>
      <c r="AN205" s="153"/>
      <c r="AO205" s="153">
        <v>30529140</v>
      </c>
      <c r="AP205" s="153">
        <v>30529140</v>
      </c>
    </row>
    <row r="206" spans="1:46" ht="38.25" customHeight="1" x14ac:dyDescent="0.25">
      <c r="A206" s="175"/>
      <c r="B206" s="175" t="s">
        <v>151</v>
      </c>
      <c r="C206" s="175"/>
      <c r="D206" s="120"/>
      <c r="E206" s="148">
        <v>0</v>
      </c>
      <c r="F206" s="114">
        <v>0</v>
      </c>
      <c r="G206" s="114">
        <v>0</v>
      </c>
      <c r="H206" s="114">
        <v>0</v>
      </c>
      <c r="I206" s="133">
        <f t="shared" ref="I206" si="84">P206-L206</f>
        <v>28214830</v>
      </c>
      <c r="J206" s="133">
        <f>SUM(J205)</f>
        <v>28214830</v>
      </c>
      <c r="K206" s="133">
        <f>SUM(K205)</f>
        <v>28214830</v>
      </c>
      <c r="L206" s="158">
        <f>SUM(L205)</f>
        <v>3036260</v>
      </c>
      <c r="M206" s="158">
        <f t="shared" ref="M206:Q206" si="85">SUM(M205)</f>
        <v>100</v>
      </c>
      <c r="N206" s="158">
        <f t="shared" si="85"/>
        <v>3036260</v>
      </c>
      <c r="O206" s="158">
        <f t="shared" si="85"/>
        <v>3036260</v>
      </c>
      <c r="P206" s="158">
        <f t="shared" si="85"/>
        <v>31251090</v>
      </c>
      <c r="Q206" s="158">
        <f t="shared" si="85"/>
        <v>100</v>
      </c>
      <c r="R206" s="127">
        <f t="shared" si="80"/>
        <v>31251090</v>
      </c>
      <c r="S206" s="127"/>
      <c r="T206" s="127">
        <f t="shared" si="81"/>
        <v>31251090</v>
      </c>
      <c r="U206" s="105"/>
      <c r="V206" s="105"/>
      <c r="W206" s="118">
        <f>SUM(W205)</f>
        <v>0</v>
      </c>
      <c r="X206" s="118"/>
      <c r="Y206" s="118"/>
      <c r="Z206" s="118">
        <f t="shared" ref="Z206:AP206" si="86">SUM(Z205)</f>
        <v>0</v>
      </c>
      <c r="AA206" s="118"/>
      <c r="AB206" s="118">
        <f t="shared" si="86"/>
        <v>0</v>
      </c>
      <c r="AC206" s="118">
        <f t="shared" si="86"/>
        <v>0</v>
      </c>
      <c r="AD206" s="118">
        <f t="shared" si="86"/>
        <v>0</v>
      </c>
      <c r="AE206" s="118"/>
      <c r="AF206" s="118"/>
      <c r="AG206" s="118">
        <f t="shared" si="86"/>
        <v>0</v>
      </c>
      <c r="AH206" s="118"/>
      <c r="AI206" s="118"/>
      <c r="AJ206" s="180">
        <f>SUM(AJ205)</f>
        <v>0</v>
      </c>
      <c r="AK206" s="132"/>
      <c r="AL206" s="132"/>
      <c r="AM206" s="131">
        <f t="shared" si="86"/>
        <v>31251090</v>
      </c>
      <c r="AN206" s="131"/>
      <c r="AO206" s="131">
        <f t="shared" si="86"/>
        <v>30529140</v>
      </c>
      <c r="AP206" s="131">
        <f t="shared" si="86"/>
        <v>30529140</v>
      </c>
    </row>
    <row r="207" spans="1:46" ht="182.25" customHeight="1" x14ac:dyDescent="0.25">
      <c r="A207" s="203" t="s">
        <v>242</v>
      </c>
      <c r="B207" s="177" t="s">
        <v>68</v>
      </c>
      <c r="C207" s="174">
        <v>1</v>
      </c>
      <c r="D207" s="89" t="s">
        <v>205</v>
      </c>
      <c r="E207" s="148">
        <v>0</v>
      </c>
      <c r="F207" s="114">
        <v>0</v>
      </c>
      <c r="G207" s="114">
        <v>0</v>
      </c>
      <c r="H207" s="114">
        <v>0</v>
      </c>
      <c r="I207" s="114">
        <f>P207-L207</f>
        <v>17021520</v>
      </c>
      <c r="J207" s="114">
        <f>R207-N207</f>
        <v>17021520</v>
      </c>
      <c r="K207" s="114">
        <f>T207-O207</f>
        <v>17021520</v>
      </c>
      <c r="L207" s="115">
        <v>189780</v>
      </c>
      <c r="M207" s="115">
        <f>L208/L207*100</f>
        <v>100</v>
      </c>
      <c r="N207" s="115">
        <f>L207</f>
        <v>189780</v>
      </c>
      <c r="O207" s="115">
        <f>L207</f>
        <v>189780</v>
      </c>
      <c r="P207" s="116">
        <f>AM207</f>
        <v>17211300</v>
      </c>
      <c r="Q207" s="116"/>
      <c r="R207" s="117">
        <f t="shared" si="80"/>
        <v>17211300</v>
      </c>
      <c r="S207" s="117"/>
      <c r="T207" s="117">
        <f t="shared" si="81"/>
        <v>17211300</v>
      </c>
      <c r="U207" s="105"/>
      <c r="V207" s="105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05"/>
      <c r="AH207" s="105"/>
      <c r="AI207" s="105"/>
      <c r="AJ207" s="110"/>
      <c r="AK207" s="111"/>
      <c r="AL207" s="111"/>
      <c r="AM207" s="153">
        <v>17211300</v>
      </c>
      <c r="AN207" s="153"/>
      <c r="AO207" s="153">
        <v>16448420</v>
      </c>
      <c r="AP207" s="153">
        <v>16448420</v>
      </c>
      <c r="AT207" s="147"/>
    </row>
    <row r="208" spans="1:46" ht="21.75" customHeight="1" x14ac:dyDescent="0.25">
      <c r="A208" s="203"/>
      <c r="B208" s="177" t="s">
        <v>151</v>
      </c>
      <c r="C208" s="174"/>
      <c r="D208" s="120"/>
      <c r="E208" s="148"/>
      <c r="F208" s="114"/>
      <c r="G208" s="114"/>
      <c r="H208" s="114"/>
      <c r="I208" s="133">
        <f>SUM(I207)</f>
        <v>17021520</v>
      </c>
      <c r="J208" s="133">
        <f t="shared" ref="J208:K208" si="87">SUM(J207)</f>
        <v>17021520</v>
      </c>
      <c r="K208" s="133">
        <f t="shared" si="87"/>
        <v>17021520</v>
      </c>
      <c r="L208" s="158">
        <f>SUM(L207)</f>
        <v>189780</v>
      </c>
      <c r="M208" s="158">
        <f>SUM(M207)</f>
        <v>100</v>
      </c>
      <c r="N208" s="158">
        <f>SUM(N207)</f>
        <v>189780</v>
      </c>
      <c r="O208" s="158">
        <f>SUM(O207)</f>
        <v>189780</v>
      </c>
      <c r="P208" s="158">
        <f t="shared" ref="P208:Q208" si="88">SUM(P207)</f>
        <v>17211300</v>
      </c>
      <c r="Q208" s="158">
        <f t="shared" si="88"/>
        <v>0</v>
      </c>
      <c r="R208" s="127">
        <f t="shared" si="80"/>
        <v>17211300</v>
      </c>
      <c r="S208" s="127"/>
      <c r="T208" s="127">
        <f t="shared" si="81"/>
        <v>17211300</v>
      </c>
      <c r="U208" s="105"/>
      <c r="V208" s="105"/>
      <c r="W208" s="118">
        <f>SUM(W207)</f>
        <v>0</v>
      </c>
      <c r="X208" s="118"/>
      <c r="Y208" s="118"/>
      <c r="Z208" s="118">
        <f t="shared" ref="Z208:AP208" si="89">SUM(Z207)</f>
        <v>0</v>
      </c>
      <c r="AA208" s="118"/>
      <c r="AB208" s="118">
        <f t="shared" si="89"/>
        <v>0</v>
      </c>
      <c r="AC208" s="118">
        <f t="shared" si="89"/>
        <v>0</v>
      </c>
      <c r="AD208" s="118">
        <f t="shared" si="89"/>
        <v>0</v>
      </c>
      <c r="AE208" s="118"/>
      <c r="AF208" s="118"/>
      <c r="AG208" s="118">
        <f t="shared" si="89"/>
        <v>0</v>
      </c>
      <c r="AH208" s="118"/>
      <c r="AI208" s="118"/>
      <c r="AJ208" s="180">
        <f>SUM(AJ207)</f>
        <v>0</v>
      </c>
      <c r="AK208" s="132"/>
      <c r="AL208" s="132"/>
      <c r="AM208" s="131">
        <f t="shared" si="89"/>
        <v>17211300</v>
      </c>
      <c r="AN208" s="131"/>
      <c r="AO208" s="131">
        <f t="shared" si="89"/>
        <v>16448420</v>
      </c>
      <c r="AP208" s="131">
        <f t="shared" si="89"/>
        <v>16448420</v>
      </c>
    </row>
    <row r="209" spans="1:44" ht="23.25" customHeight="1" x14ac:dyDescent="0.25">
      <c r="A209" s="175"/>
      <c r="B209" s="202" t="s">
        <v>70</v>
      </c>
      <c r="C209" s="202"/>
      <c r="D209" s="202"/>
      <c r="E209" s="159">
        <f>E143+E194+E203</f>
        <v>55627</v>
      </c>
      <c r="F209" s="133">
        <f>I209/E209</f>
        <v>84872.967084329546</v>
      </c>
      <c r="G209" s="134">
        <f>J209/E209</f>
        <v>84872.967084329546</v>
      </c>
      <c r="H209" s="134">
        <f>K209/E209</f>
        <v>84872.967084329546</v>
      </c>
      <c r="I209" s="134">
        <f t="shared" ref="I209:AR209" si="90">I143+I194+I203+I206+I208+I74</f>
        <v>4721228540</v>
      </c>
      <c r="J209" s="134">
        <f t="shared" si="90"/>
        <v>4721228540</v>
      </c>
      <c r="K209" s="134">
        <f t="shared" si="90"/>
        <v>4721228540</v>
      </c>
      <c r="L209" s="134">
        <f t="shared" si="90"/>
        <v>265317230</v>
      </c>
      <c r="M209" s="134">
        <f t="shared" si="90"/>
        <v>400</v>
      </c>
      <c r="N209" s="134">
        <f t="shared" si="90"/>
        <v>265317230</v>
      </c>
      <c r="O209" s="134">
        <f t="shared" si="90"/>
        <v>265317230</v>
      </c>
      <c r="P209" s="134">
        <f t="shared" si="90"/>
        <v>4986545770</v>
      </c>
      <c r="Q209" s="134">
        <f t="shared" si="90"/>
        <v>200</v>
      </c>
      <c r="R209" s="127">
        <f t="shared" si="80"/>
        <v>4986545770</v>
      </c>
      <c r="S209" s="127"/>
      <c r="T209" s="127">
        <f t="shared" si="81"/>
        <v>4986545770</v>
      </c>
      <c r="U209" s="134">
        <f t="shared" si="90"/>
        <v>0</v>
      </c>
      <c r="V209" s="134">
        <f t="shared" si="90"/>
        <v>0</v>
      </c>
      <c r="W209" s="134">
        <f t="shared" si="90"/>
        <v>3700449999.9999995</v>
      </c>
      <c r="X209" s="134">
        <f t="shared" si="90"/>
        <v>3372823000</v>
      </c>
      <c r="Y209" s="134">
        <f t="shared" si="90"/>
        <v>3372823000</v>
      </c>
      <c r="Z209" s="134">
        <f t="shared" si="90"/>
        <v>727000</v>
      </c>
      <c r="AA209" s="134">
        <f t="shared" si="90"/>
        <v>830000</v>
      </c>
      <c r="AB209" s="134">
        <f t="shared" si="90"/>
        <v>830000</v>
      </c>
      <c r="AC209" s="134">
        <f t="shared" si="90"/>
        <v>0</v>
      </c>
      <c r="AD209" s="134">
        <f t="shared" si="90"/>
        <v>63315000</v>
      </c>
      <c r="AE209" s="134">
        <f t="shared" si="90"/>
        <v>58435000.000000022</v>
      </c>
      <c r="AF209" s="134">
        <f t="shared" si="90"/>
        <v>58435000.000000022</v>
      </c>
      <c r="AG209" s="134">
        <f t="shared" si="90"/>
        <v>22051000</v>
      </c>
      <c r="AH209" s="134">
        <f t="shared" si="90"/>
        <v>22051000</v>
      </c>
      <c r="AI209" s="134">
        <f t="shared" si="90"/>
        <v>22051000</v>
      </c>
      <c r="AJ209" s="134">
        <f t="shared" si="90"/>
        <v>0</v>
      </c>
      <c r="AK209" s="134">
        <f t="shared" si="90"/>
        <v>17293999.999999996</v>
      </c>
      <c r="AL209" s="134">
        <f t="shared" si="90"/>
        <v>17293999.999999996</v>
      </c>
      <c r="AM209" s="134">
        <f t="shared" si="90"/>
        <v>1200002770</v>
      </c>
      <c r="AN209" s="134">
        <f t="shared" si="90"/>
        <v>0</v>
      </c>
      <c r="AO209" s="134">
        <f t="shared" si="90"/>
        <v>595168448.10036039</v>
      </c>
      <c r="AP209" s="134">
        <f t="shared" si="90"/>
        <v>595168448.10036039</v>
      </c>
      <c r="AQ209" s="134">
        <f t="shared" si="90"/>
        <v>0</v>
      </c>
      <c r="AR209" s="134">
        <f t="shared" si="90"/>
        <v>0</v>
      </c>
    </row>
    <row r="210" spans="1:44" ht="3.75" customHeight="1" x14ac:dyDescent="0.25">
      <c r="A210" s="160"/>
      <c r="B210" s="160"/>
      <c r="C210" s="160"/>
      <c r="D210" s="161"/>
      <c r="E210" s="162"/>
      <c r="F210" s="161"/>
      <c r="G210" s="161"/>
      <c r="H210" s="161"/>
      <c r="I210" s="16"/>
      <c r="J210" s="16"/>
      <c r="K210" s="16"/>
      <c r="L210" s="163"/>
      <c r="M210" s="163"/>
      <c r="N210" s="163"/>
      <c r="O210" s="163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83"/>
      <c r="AK210" s="111"/>
      <c r="AL210" s="111"/>
      <c r="AM210" s="16"/>
      <c r="AN210" s="16"/>
      <c r="AO210" s="16"/>
      <c r="AP210" s="16"/>
    </row>
    <row r="211" spans="1:44" ht="12.75" customHeight="1" x14ac:dyDescent="0.25">
      <c r="A211" s="160"/>
      <c r="B211" s="164" t="s">
        <v>169</v>
      </c>
      <c r="C211" s="164"/>
      <c r="D211" s="161"/>
      <c r="E211" s="162"/>
      <c r="F211" s="161"/>
      <c r="G211" s="161"/>
      <c r="H211" s="161"/>
      <c r="I211" s="16"/>
      <c r="J211" s="16"/>
      <c r="K211" s="16"/>
      <c r="L211" s="163"/>
      <c r="M211" s="163"/>
      <c r="N211" s="163"/>
      <c r="O211" s="163"/>
      <c r="P211" s="16"/>
      <c r="Q211" s="16"/>
      <c r="R211" s="213" t="s">
        <v>210</v>
      </c>
      <c r="S211" s="213"/>
      <c r="T211" s="213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>
        <f>SUM(AM209+AG209+AD209+AB209+W209)</f>
        <v>4986648770</v>
      </c>
      <c r="AN211" s="16"/>
      <c r="AO211" s="16"/>
      <c r="AP211" s="16"/>
    </row>
    <row r="212" spans="1:44" ht="12" customHeight="1" x14ac:dyDescent="0.25">
      <c r="A212" s="160"/>
      <c r="B212" s="164" t="s">
        <v>170</v>
      </c>
      <c r="C212" s="164"/>
      <c r="D212" s="161"/>
      <c r="E212" s="162"/>
      <c r="F212" s="161"/>
      <c r="G212" s="161"/>
      <c r="H212" s="161"/>
      <c r="I212" s="16"/>
      <c r="J212" s="16"/>
      <c r="K212" s="16"/>
      <c r="L212" s="163"/>
      <c r="M212" s="163"/>
      <c r="N212" s="163"/>
      <c r="O212" s="163"/>
      <c r="P212" s="16"/>
      <c r="Q212" s="16"/>
      <c r="R212" s="16"/>
      <c r="S212" s="16"/>
      <c r="T212" s="16"/>
      <c r="U212" s="16"/>
      <c r="V212" s="16"/>
      <c r="W212" s="165"/>
      <c r="X212" s="165"/>
      <c r="Y212" s="165"/>
      <c r="Z212" s="166"/>
      <c r="AA212" s="166"/>
      <c r="AB212" s="166"/>
      <c r="AC212" s="166"/>
      <c r="AD212" s="167"/>
      <c r="AE212" s="167"/>
      <c r="AF212" s="167"/>
      <c r="AG212" s="165"/>
      <c r="AH212" s="165"/>
      <c r="AI212" s="165"/>
      <c r="AJ212" s="166"/>
      <c r="AK212" s="166"/>
      <c r="AL212" s="166"/>
      <c r="AM212" s="165"/>
      <c r="AN212" s="165"/>
      <c r="AO212" s="165"/>
      <c r="AP212" s="165"/>
    </row>
    <row r="213" spans="1:44" ht="13.5" customHeight="1" x14ac:dyDescent="0.25">
      <c r="A213" s="160"/>
      <c r="B213" s="164" t="s">
        <v>149</v>
      </c>
      <c r="C213" s="164"/>
      <c r="D213" s="161"/>
      <c r="E213" s="162"/>
      <c r="F213" s="161"/>
      <c r="G213" s="161"/>
      <c r="H213" s="161"/>
      <c r="I213" s="16"/>
      <c r="J213" s="16"/>
      <c r="K213" s="16"/>
      <c r="L213" s="163"/>
      <c r="M213" s="163"/>
      <c r="N213" s="163"/>
      <c r="O213" s="163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>
        <v>-4274297380</v>
      </c>
      <c r="AN213" s="16"/>
      <c r="AO213" s="16"/>
      <c r="AP213" s="16"/>
    </row>
    <row r="214" spans="1:44" ht="12.75" customHeight="1" x14ac:dyDescent="0.25">
      <c r="A214" s="160"/>
      <c r="B214" s="164" t="s">
        <v>150</v>
      </c>
      <c r="C214" s="164"/>
      <c r="D214" s="161"/>
      <c r="E214" s="162"/>
      <c r="F214" s="16"/>
      <c r="G214" s="16"/>
      <c r="H214" s="16"/>
      <c r="I214" s="16"/>
      <c r="J214" s="16"/>
      <c r="K214" s="16"/>
      <c r="L214" s="163"/>
      <c r="M214" s="163"/>
      <c r="N214" s="163"/>
      <c r="O214" s="163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</row>
    <row r="215" spans="1:44" ht="2.25" customHeight="1" x14ac:dyDescent="0.25">
      <c r="A215" s="160"/>
      <c r="B215" s="160"/>
      <c r="C215" s="160"/>
      <c r="D215" s="161"/>
      <c r="E215" s="162"/>
      <c r="F215" s="161"/>
      <c r="G215" s="161"/>
      <c r="H215" s="161"/>
      <c r="I215" s="16"/>
      <c r="J215" s="16"/>
      <c r="K215" s="16"/>
      <c r="L215" s="163"/>
      <c r="M215" s="163"/>
      <c r="N215" s="163"/>
      <c r="O215" s="163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</row>
    <row r="216" spans="1:44" x14ac:dyDescent="0.25">
      <c r="A216" s="160"/>
      <c r="B216" s="160"/>
      <c r="C216" s="160"/>
      <c r="D216" s="161"/>
      <c r="E216" s="162"/>
      <c r="F216" s="161"/>
      <c r="G216" s="161"/>
      <c r="H216" s="161"/>
      <c r="I216" s="16"/>
      <c r="J216" s="16"/>
      <c r="K216" s="16"/>
      <c r="L216" s="163"/>
      <c r="M216" s="163"/>
      <c r="N216" s="163"/>
      <c r="O216" s="163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</row>
    <row r="217" spans="1:44" x14ac:dyDescent="0.25">
      <c r="A217" s="160"/>
      <c r="B217" s="160"/>
      <c r="C217" s="160"/>
      <c r="D217" s="161"/>
      <c r="E217" s="162"/>
      <c r="F217" s="161"/>
      <c r="G217" s="161"/>
      <c r="H217" s="161"/>
      <c r="I217" s="16"/>
      <c r="J217" s="16"/>
      <c r="K217" s="16"/>
      <c r="L217" s="163"/>
      <c r="M217" s="163"/>
      <c r="N217" s="163"/>
      <c r="O217" s="163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</row>
    <row r="218" spans="1:44" x14ac:dyDescent="0.25">
      <c r="A218" s="160"/>
      <c r="B218" s="160"/>
      <c r="C218" s="160"/>
      <c r="D218" s="161"/>
      <c r="E218" s="162"/>
      <c r="F218" s="161"/>
      <c r="G218" s="161"/>
      <c r="H218" s="161"/>
      <c r="I218" s="16"/>
      <c r="J218" s="16"/>
      <c r="K218" s="16"/>
      <c r="L218" s="163"/>
      <c r="M218" s="163"/>
      <c r="N218" s="163"/>
      <c r="O218" s="163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</row>
    <row r="219" spans="1:44" x14ac:dyDescent="0.25">
      <c r="A219" s="160"/>
      <c r="B219" s="160"/>
      <c r="C219" s="160"/>
      <c r="D219" s="161"/>
      <c r="E219" s="162"/>
      <c r="F219" s="161"/>
      <c r="G219" s="161"/>
      <c r="H219" s="161"/>
      <c r="I219" s="16"/>
      <c r="J219" s="16"/>
      <c r="K219" s="16"/>
      <c r="L219" s="163"/>
      <c r="M219" s="163"/>
      <c r="N219" s="163"/>
      <c r="O219" s="163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</row>
    <row r="220" spans="1:44" x14ac:dyDescent="0.25">
      <c r="A220" s="160"/>
      <c r="B220" s="160"/>
      <c r="C220" s="160"/>
      <c r="D220" s="161"/>
      <c r="E220" s="162"/>
      <c r="F220" s="161"/>
      <c r="G220" s="161"/>
      <c r="H220" s="161"/>
      <c r="I220" s="16"/>
      <c r="J220" s="16"/>
      <c r="K220" s="16"/>
      <c r="L220" s="163"/>
      <c r="M220" s="163"/>
      <c r="N220" s="163"/>
      <c r="O220" s="163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</row>
    <row r="221" spans="1:44" x14ac:dyDescent="0.25">
      <c r="A221" s="160"/>
      <c r="B221" s="160"/>
      <c r="C221" s="160"/>
      <c r="D221" s="161"/>
      <c r="E221" s="162"/>
      <c r="F221" s="161"/>
      <c r="G221" s="161"/>
      <c r="H221" s="161"/>
      <c r="I221" s="16"/>
      <c r="J221" s="16"/>
      <c r="K221" s="16"/>
      <c r="L221" s="163"/>
      <c r="M221" s="163"/>
      <c r="N221" s="163"/>
      <c r="O221" s="163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</row>
    <row r="222" spans="1:44" x14ac:dyDescent="0.25">
      <c r="A222" s="160"/>
      <c r="B222" s="160"/>
      <c r="C222" s="160"/>
      <c r="D222" s="161"/>
      <c r="E222" s="162"/>
      <c r="F222" s="161"/>
      <c r="G222" s="161"/>
      <c r="H222" s="161"/>
      <c r="I222" s="16"/>
      <c r="J222" s="16"/>
      <c r="K222" s="16"/>
      <c r="L222" s="163"/>
      <c r="M222" s="163"/>
      <c r="N222" s="163"/>
      <c r="O222" s="163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</row>
    <row r="223" spans="1:44" x14ac:dyDescent="0.25">
      <c r="A223" s="160"/>
      <c r="B223" s="160"/>
      <c r="C223" s="160"/>
      <c r="D223" s="161"/>
      <c r="E223" s="162"/>
      <c r="F223" s="161"/>
      <c r="G223" s="161"/>
      <c r="H223" s="161"/>
      <c r="I223" s="16"/>
      <c r="J223" s="16"/>
      <c r="K223" s="16"/>
      <c r="L223" s="163"/>
      <c r="M223" s="163"/>
      <c r="N223" s="163"/>
      <c r="O223" s="163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</row>
    <row r="224" spans="1:44" x14ac:dyDescent="0.25">
      <c r="AM224" s="3"/>
      <c r="AN224" s="3"/>
      <c r="AO224" s="3"/>
      <c r="AP224" s="3"/>
    </row>
    <row r="225" spans="4:42" x14ac:dyDescent="0.25">
      <c r="D225" s="169"/>
      <c r="L225" s="170"/>
      <c r="M225" s="170"/>
      <c r="N225" s="170"/>
      <c r="O225" s="170"/>
      <c r="P225" s="3"/>
      <c r="Q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</row>
    <row r="226" spans="4:42" x14ac:dyDescent="0.25">
      <c r="D226" s="161"/>
      <c r="E226" s="171"/>
      <c r="F226" s="171"/>
      <c r="G226" s="171"/>
      <c r="H226" s="171"/>
      <c r="I226" s="171"/>
      <c r="J226" s="171"/>
      <c r="K226" s="171"/>
      <c r="L226" s="172"/>
      <c r="M226" s="172"/>
      <c r="N226" s="172"/>
      <c r="O226" s="172"/>
      <c r="P226" s="3"/>
      <c r="Q226" s="3"/>
      <c r="U226" s="171"/>
      <c r="V226" s="171"/>
      <c r="W226" s="171"/>
      <c r="X226" s="171"/>
      <c r="Y226" s="171"/>
      <c r="Z226" s="171"/>
      <c r="AA226" s="171"/>
      <c r="AB226" s="171"/>
      <c r="AC226" s="171"/>
      <c r="AD226" s="171"/>
      <c r="AE226" s="171"/>
      <c r="AF226" s="171"/>
      <c r="AG226" s="171"/>
      <c r="AH226" s="171"/>
      <c r="AI226" s="171"/>
      <c r="AJ226" s="171"/>
      <c r="AK226" s="171"/>
      <c r="AL226" s="171"/>
    </row>
    <row r="227" spans="4:42" ht="26.25" customHeight="1" x14ac:dyDescent="0.25"/>
    <row r="228" spans="4:42" x14ac:dyDescent="0.25">
      <c r="L228" s="4"/>
      <c r="M228" s="4"/>
      <c r="N228" s="4"/>
      <c r="O228" s="4"/>
      <c r="P228" s="3"/>
      <c r="Q228" s="3"/>
    </row>
    <row r="229" spans="4:42" x14ac:dyDescent="0.25">
      <c r="L229" s="4"/>
      <c r="M229" s="4"/>
      <c r="N229" s="4"/>
      <c r="O229" s="4"/>
      <c r="P229" s="173"/>
      <c r="Q229" s="173"/>
      <c r="AG229" s="3"/>
      <c r="AH229" s="3"/>
      <c r="AI229" s="3"/>
    </row>
  </sheetData>
  <mergeCells count="31">
    <mergeCell ref="W2:AL2"/>
    <mergeCell ref="W4:Y4"/>
    <mergeCell ref="A2:T2"/>
    <mergeCell ref="F4:H4"/>
    <mergeCell ref="I4:K4"/>
    <mergeCell ref="L4:O4"/>
    <mergeCell ref="P4:T4"/>
    <mergeCell ref="B4:B5"/>
    <mergeCell ref="A4:A5"/>
    <mergeCell ref="C4:D5"/>
    <mergeCell ref="A157:A193"/>
    <mergeCell ref="B146:B156"/>
    <mergeCell ref="R211:T211"/>
    <mergeCell ref="B157:B193"/>
    <mergeCell ref="R1:T1"/>
    <mergeCell ref="AT78:AV78"/>
    <mergeCell ref="AM4:AP4"/>
    <mergeCell ref="B209:D209"/>
    <mergeCell ref="A75:A142"/>
    <mergeCell ref="B75:B142"/>
    <mergeCell ref="B196:B202"/>
    <mergeCell ref="A196:A202"/>
    <mergeCell ref="E4:E5"/>
    <mergeCell ref="AJ4:AL4"/>
    <mergeCell ref="AD4:AF4"/>
    <mergeCell ref="A146:A156"/>
    <mergeCell ref="Z4:AB4"/>
    <mergeCell ref="AG4:AI4"/>
    <mergeCell ref="A207:A208"/>
    <mergeCell ref="B6:B73"/>
    <mergeCell ref="A6:A73"/>
  </mergeCells>
  <printOptions horizontalCentered="1"/>
  <pageMargins left="0.78740157480314965" right="0.78740157480314965" top="0.78740157480314965" bottom="0.39370078740157483" header="0.31496062992125984" footer="0.31496062992125984"/>
  <pageSetup paperSize="9" scale="57" fitToHeight="27" orientation="landscape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9"/>
  <sheetViews>
    <sheetView topLeftCell="A34" workbookViewId="0">
      <selection activeCell="E8" sqref="E8"/>
    </sheetView>
  </sheetViews>
  <sheetFormatPr defaultRowHeight="15" x14ac:dyDescent="0.25"/>
  <cols>
    <col min="1" max="1" width="4.42578125" customWidth="1"/>
    <col min="2" max="2" width="12.5703125" customWidth="1"/>
    <col min="3" max="3" width="4.7109375" customWidth="1"/>
    <col min="4" max="4" width="11.5703125" customWidth="1"/>
    <col min="5" max="5" width="19.85546875" style="29" customWidth="1"/>
    <col min="6" max="6" width="11.85546875" customWidth="1"/>
    <col min="7" max="7" width="15.42578125" customWidth="1"/>
    <col min="8" max="8" width="15.5703125" customWidth="1"/>
    <col min="9" max="9" width="12.5703125" customWidth="1"/>
    <col min="10" max="10" width="14.7109375" customWidth="1"/>
  </cols>
  <sheetData>
    <row r="5" spans="1:10" ht="76.5" x14ac:dyDescent="0.25">
      <c r="A5" s="24" t="s">
        <v>0</v>
      </c>
      <c r="B5" s="24" t="s">
        <v>144</v>
      </c>
      <c r="C5" s="24"/>
      <c r="D5" s="223" t="s">
        <v>2</v>
      </c>
      <c r="E5" s="224"/>
      <c r="F5" s="19" t="s">
        <v>3</v>
      </c>
      <c r="G5" s="19" t="s">
        <v>4</v>
      </c>
      <c r="H5" s="19" t="s">
        <v>5</v>
      </c>
      <c r="I5" s="25" t="s">
        <v>6</v>
      </c>
      <c r="J5" s="19" t="s">
        <v>7</v>
      </c>
    </row>
    <row r="6" spans="1:10" ht="28.5" customHeight="1" x14ac:dyDescent="0.25">
      <c r="A6" s="225" t="s">
        <v>145</v>
      </c>
      <c r="B6" s="237" t="s">
        <v>156</v>
      </c>
      <c r="C6" s="46" t="s">
        <v>157</v>
      </c>
      <c r="D6" s="228" t="s">
        <v>158</v>
      </c>
      <c r="E6" s="28" t="s">
        <v>24</v>
      </c>
      <c r="F6" s="17">
        <v>920</v>
      </c>
      <c r="G6" s="21">
        <v>81757.215228260859</v>
      </c>
      <c r="H6" s="21">
        <v>75216638.00999999</v>
      </c>
      <c r="I6" s="26">
        <v>11756820</v>
      </c>
      <c r="J6" s="22">
        <v>86973458.00999999</v>
      </c>
    </row>
    <row r="7" spans="1:10" ht="72" customHeight="1" x14ac:dyDescent="0.25">
      <c r="A7" s="226"/>
      <c r="B7" s="238"/>
      <c r="C7" s="47"/>
      <c r="D7" s="229"/>
      <c r="E7" s="28" t="s">
        <v>23</v>
      </c>
      <c r="F7" s="17">
        <v>1274</v>
      </c>
      <c r="G7" s="21">
        <v>67015.998948194669</v>
      </c>
      <c r="H7" s="21">
        <v>85378382.660000011</v>
      </c>
      <c r="I7" s="26">
        <v>2981930</v>
      </c>
      <c r="J7" s="22">
        <v>88360312.660000011</v>
      </c>
    </row>
    <row r="8" spans="1:10" ht="73.5" customHeight="1" x14ac:dyDescent="0.25">
      <c r="A8" s="226"/>
      <c r="B8" s="238"/>
      <c r="C8" s="47"/>
      <c r="D8" s="229"/>
      <c r="E8" s="28" t="s">
        <v>38</v>
      </c>
      <c r="F8" s="17">
        <v>953</v>
      </c>
      <c r="G8" s="21">
        <v>73393.454123819523</v>
      </c>
      <c r="H8" s="21">
        <v>69943961.780000001</v>
      </c>
      <c r="I8" s="26">
        <v>2364500</v>
      </c>
      <c r="J8" s="22">
        <v>72308461.780000001</v>
      </c>
    </row>
    <row r="9" spans="1:10" ht="1.5" customHeight="1" x14ac:dyDescent="0.25">
      <c r="A9" s="226"/>
      <c r="B9" s="238"/>
      <c r="C9" s="47"/>
      <c r="D9" s="229"/>
      <c r="E9" s="28" t="s">
        <v>127</v>
      </c>
      <c r="F9" s="17">
        <v>1114</v>
      </c>
      <c r="G9" s="21">
        <v>55183.475116696587</v>
      </c>
      <c r="H9" s="21">
        <v>61474391.280000001</v>
      </c>
      <c r="I9" s="26">
        <v>2643830</v>
      </c>
      <c r="J9" s="22">
        <v>64118221.280000001</v>
      </c>
    </row>
    <row r="10" spans="1:10" ht="72" customHeight="1" x14ac:dyDescent="0.25">
      <c r="A10" s="226"/>
      <c r="B10" s="238"/>
      <c r="C10" s="47"/>
      <c r="D10" s="229"/>
      <c r="E10" s="28" t="s">
        <v>128</v>
      </c>
      <c r="F10" s="17">
        <v>1487</v>
      </c>
      <c r="G10" s="21">
        <v>58907.954250168121</v>
      </c>
      <c r="H10" s="21">
        <v>87596127.969999999</v>
      </c>
      <c r="I10" s="26">
        <v>7978700</v>
      </c>
      <c r="J10" s="22">
        <v>95574827.969999999</v>
      </c>
    </row>
    <row r="11" spans="1:10" ht="115.5" customHeight="1" x14ac:dyDescent="0.25">
      <c r="A11" s="226"/>
      <c r="B11" s="238"/>
      <c r="C11" s="47"/>
      <c r="D11" s="229"/>
      <c r="E11" s="28" t="s">
        <v>129</v>
      </c>
      <c r="F11" s="17">
        <v>644</v>
      </c>
      <c r="G11" s="21">
        <v>82832.381195652182</v>
      </c>
      <c r="H11" s="21">
        <v>53344053.490000002</v>
      </c>
      <c r="I11" s="26">
        <v>2382550</v>
      </c>
      <c r="J11" s="22">
        <v>55726603.490000002</v>
      </c>
    </row>
    <row r="12" spans="1:10" ht="127.5" customHeight="1" x14ac:dyDescent="0.25">
      <c r="A12" s="226"/>
      <c r="B12" s="238"/>
      <c r="C12" s="47"/>
      <c r="D12" s="229"/>
      <c r="E12" s="28" t="s">
        <v>130</v>
      </c>
      <c r="F12" s="23">
        <v>1092</v>
      </c>
      <c r="G12" s="21">
        <v>83382.628836996329</v>
      </c>
      <c r="H12" s="21">
        <v>91053830.689999998</v>
      </c>
      <c r="I12" s="26">
        <v>6104760</v>
      </c>
      <c r="J12" s="22">
        <v>97158590.689999998</v>
      </c>
    </row>
    <row r="13" spans="1:10" ht="60.75" customHeight="1" x14ac:dyDescent="0.25">
      <c r="A13" s="226"/>
      <c r="B13" s="238"/>
      <c r="C13" s="47"/>
      <c r="D13" s="229"/>
      <c r="E13" s="28" t="s">
        <v>131</v>
      </c>
      <c r="F13" s="23">
        <v>295</v>
      </c>
      <c r="G13" s="21">
        <v>104725.58010169491</v>
      </c>
      <c r="H13" s="21">
        <v>30894046.129999999</v>
      </c>
      <c r="I13" s="26">
        <v>1706310</v>
      </c>
      <c r="J13" s="22">
        <v>32600356.129999999</v>
      </c>
    </row>
    <row r="14" spans="1:10" ht="76.5" customHeight="1" x14ac:dyDescent="0.25">
      <c r="A14" s="226"/>
      <c r="B14" s="238"/>
      <c r="C14" s="47"/>
      <c r="D14" s="229"/>
      <c r="E14" s="28" t="s">
        <v>132</v>
      </c>
      <c r="F14" s="23">
        <v>568</v>
      </c>
      <c r="G14" s="21">
        <v>57163.223221830995</v>
      </c>
      <c r="H14" s="21">
        <v>32468710.790000007</v>
      </c>
      <c r="I14" s="26">
        <v>2084560</v>
      </c>
      <c r="J14" s="22">
        <v>34553270.790000007</v>
      </c>
    </row>
    <row r="15" spans="1:10" ht="76.5" customHeight="1" x14ac:dyDescent="0.25">
      <c r="A15" s="226"/>
      <c r="B15" s="238"/>
      <c r="C15" s="47"/>
      <c r="D15" s="229"/>
      <c r="E15" s="28" t="s">
        <v>46</v>
      </c>
      <c r="F15" s="17">
        <v>1281</v>
      </c>
      <c r="G15" s="21">
        <v>57912.768368462137</v>
      </c>
      <c r="H15" s="21">
        <v>74186256.280000001</v>
      </c>
      <c r="I15" s="26">
        <v>8281010</v>
      </c>
      <c r="J15" s="22">
        <v>82467266.280000001</v>
      </c>
    </row>
    <row r="16" spans="1:10" ht="76.5" customHeight="1" x14ac:dyDescent="0.25">
      <c r="A16" s="226"/>
      <c r="B16" s="238"/>
      <c r="C16" s="47"/>
      <c r="D16" s="229"/>
      <c r="E16" s="28" t="s">
        <v>47</v>
      </c>
      <c r="F16" s="17">
        <v>743</v>
      </c>
      <c r="G16" s="21">
        <v>51347.368021534319</v>
      </c>
      <c r="H16" s="21">
        <v>38151094.439999998</v>
      </c>
      <c r="I16" s="26">
        <v>2178420</v>
      </c>
      <c r="J16" s="22">
        <v>40329514.439999998</v>
      </c>
    </row>
    <row r="17" spans="1:10" ht="40.5" customHeight="1" x14ac:dyDescent="0.25">
      <c r="A17" s="226"/>
      <c r="B17" s="238"/>
      <c r="C17" s="47"/>
      <c r="D17" s="229"/>
      <c r="E17" s="28" t="s">
        <v>48</v>
      </c>
      <c r="F17" s="17">
        <v>1161</v>
      </c>
      <c r="G17" s="21">
        <v>56001.470878552973</v>
      </c>
      <c r="H17" s="21">
        <v>65017707.689999998</v>
      </c>
      <c r="I17" s="26">
        <v>7668800</v>
      </c>
      <c r="J17" s="22">
        <v>72686507.689999998</v>
      </c>
    </row>
    <row r="18" spans="1:10" ht="76.5" customHeight="1" x14ac:dyDescent="0.25">
      <c r="A18" s="226"/>
      <c r="B18" s="238"/>
      <c r="C18" s="47"/>
      <c r="D18" s="229"/>
      <c r="E18" s="28" t="s">
        <v>41</v>
      </c>
      <c r="F18" s="17">
        <v>1237</v>
      </c>
      <c r="G18" s="21">
        <v>52305.222223120451</v>
      </c>
      <c r="H18" s="21">
        <v>64701559.890000001</v>
      </c>
      <c r="I18" s="26">
        <v>3907640</v>
      </c>
      <c r="J18" s="22">
        <v>68609199.890000001</v>
      </c>
    </row>
    <row r="19" spans="1:10" ht="76.5" customHeight="1" x14ac:dyDescent="0.25">
      <c r="A19" s="226"/>
      <c r="B19" s="238"/>
      <c r="C19" s="47"/>
      <c r="D19" s="229"/>
      <c r="E19" s="28" t="s">
        <v>18</v>
      </c>
      <c r="F19" s="17">
        <v>296</v>
      </c>
      <c r="G19" s="21">
        <v>67477.96875</v>
      </c>
      <c r="H19" s="21">
        <v>19973478.75</v>
      </c>
      <c r="I19" s="26">
        <v>1117230</v>
      </c>
      <c r="J19" s="22">
        <v>21090708.75</v>
      </c>
    </row>
    <row r="20" spans="1:10" s="41" customFormat="1" ht="76.5" customHeight="1" x14ac:dyDescent="0.25">
      <c r="A20" s="226"/>
      <c r="B20" s="238"/>
      <c r="C20" s="47"/>
      <c r="D20" s="229"/>
      <c r="E20" s="36" t="s">
        <v>19</v>
      </c>
      <c r="F20" s="37">
        <v>452</v>
      </c>
      <c r="G20" s="38">
        <v>87054.15334070797</v>
      </c>
      <c r="H20" s="38">
        <v>39348477.310000002</v>
      </c>
      <c r="I20" s="39">
        <v>1754030</v>
      </c>
      <c r="J20" s="40">
        <v>41102507.310000002</v>
      </c>
    </row>
    <row r="21" spans="1:10" ht="76.5" customHeight="1" x14ac:dyDescent="0.25">
      <c r="A21" s="226"/>
      <c r="B21" s="238"/>
      <c r="C21" s="47"/>
      <c r="D21" s="229"/>
      <c r="E21" s="28" t="s">
        <v>42</v>
      </c>
      <c r="F21" s="17">
        <v>320</v>
      </c>
      <c r="G21" s="21">
        <v>57219.3780625</v>
      </c>
      <c r="H21" s="21">
        <v>18310200.98</v>
      </c>
      <c r="I21" s="26">
        <v>1100280</v>
      </c>
      <c r="J21" s="22">
        <v>19410480.98</v>
      </c>
    </row>
    <row r="22" spans="1:10" ht="25.5" customHeight="1" x14ac:dyDescent="0.25">
      <c r="A22" s="226"/>
      <c r="B22" s="238"/>
      <c r="C22" s="47"/>
      <c r="D22" s="229"/>
      <c r="E22" s="28" t="s">
        <v>43</v>
      </c>
      <c r="F22" s="17">
        <v>599</v>
      </c>
      <c r="G22" s="21">
        <v>53175.754390651084</v>
      </c>
      <c r="H22" s="21">
        <v>31852276.879999999</v>
      </c>
      <c r="I22" s="26">
        <v>1207760</v>
      </c>
      <c r="J22" s="22">
        <v>33060036.879999999</v>
      </c>
    </row>
    <row r="23" spans="1:10" ht="76.5" customHeight="1" x14ac:dyDescent="0.25">
      <c r="A23" s="226"/>
      <c r="B23" s="238"/>
      <c r="C23" s="47"/>
      <c r="D23" s="229"/>
      <c r="E23" s="28" t="s">
        <v>45</v>
      </c>
      <c r="F23" s="17">
        <v>218</v>
      </c>
      <c r="G23" s="21">
        <v>69152.948302752295</v>
      </c>
      <c r="H23" s="21">
        <v>15075342.73</v>
      </c>
      <c r="I23" s="26">
        <v>754260</v>
      </c>
      <c r="J23" s="22">
        <v>15829602.73</v>
      </c>
    </row>
    <row r="24" spans="1:10" ht="76.5" customHeight="1" x14ac:dyDescent="0.25">
      <c r="A24" s="226"/>
      <c r="B24" s="238"/>
      <c r="C24" s="47"/>
      <c r="D24" s="229"/>
      <c r="E24" s="28" t="s">
        <v>133</v>
      </c>
      <c r="F24" s="17">
        <v>458</v>
      </c>
      <c r="G24" s="21">
        <v>66612.949519650647</v>
      </c>
      <c r="H24" s="21">
        <v>30508730.879999999</v>
      </c>
      <c r="I24" s="26">
        <v>1492500</v>
      </c>
      <c r="J24" s="22">
        <v>32001230.879999999</v>
      </c>
    </row>
    <row r="25" spans="1:10" ht="89.25" customHeight="1" x14ac:dyDescent="0.25">
      <c r="A25" s="226"/>
      <c r="B25" s="238"/>
      <c r="C25" s="47"/>
      <c r="D25" s="229"/>
      <c r="E25" s="28" t="s">
        <v>134</v>
      </c>
      <c r="F25" s="17">
        <v>459</v>
      </c>
      <c r="G25" s="21">
        <v>59924.486971677557</v>
      </c>
      <c r="H25" s="21">
        <v>27505339.52</v>
      </c>
      <c r="I25" s="26">
        <v>1193250</v>
      </c>
      <c r="J25" s="22">
        <v>28698589.52</v>
      </c>
    </row>
    <row r="26" spans="1:10" ht="76.5" customHeight="1" x14ac:dyDescent="0.25">
      <c r="A26" s="226"/>
      <c r="B26" s="238"/>
      <c r="C26" s="47"/>
      <c r="D26" s="229"/>
      <c r="E26" s="28" t="s">
        <v>49</v>
      </c>
      <c r="F26" s="17">
        <v>203</v>
      </c>
      <c r="G26" s="21">
        <v>80369.326403940882</v>
      </c>
      <c r="H26" s="21">
        <v>16314973.259999998</v>
      </c>
      <c r="I26" s="26">
        <v>1529140</v>
      </c>
      <c r="J26" s="22">
        <v>17844113.259999998</v>
      </c>
    </row>
    <row r="27" spans="1:10" ht="76.5" customHeight="1" x14ac:dyDescent="0.25">
      <c r="A27" s="226"/>
      <c r="B27" s="238"/>
      <c r="C27" s="47"/>
      <c r="D27" s="229"/>
      <c r="E27" s="28" t="s">
        <v>21</v>
      </c>
      <c r="F27" s="17">
        <v>326</v>
      </c>
      <c r="G27" s="21">
        <v>100086.78337423314</v>
      </c>
      <c r="H27" s="21">
        <v>32628291.380000003</v>
      </c>
      <c r="I27" s="26">
        <v>1539330</v>
      </c>
      <c r="J27" s="22">
        <v>34167621.380000003</v>
      </c>
    </row>
    <row r="28" spans="1:10" ht="51.75" customHeight="1" x14ac:dyDescent="0.25">
      <c r="A28" s="226"/>
      <c r="B28" s="238"/>
      <c r="C28" s="47"/>
      <c r="D28" s="229"/>
      <c r="E28" s="28" t="s">
        <v>35</v>
      </c>
      <c r="F28" s="17">
        <v>423</v>
      </c>
      <c r="G28" s="21">
        <v>80903.987966903063</v>
      </c>
      <c r="H28" s="21">
        <v>34222386.909999996</v>
      </c>
      <c r="I28" s="26">
        <v>1555140</v>
      </c>
      <c r="J28" s="22">
        <v>35777526.909999996</v>
      </c>
    </row>
    <row r="29" spans="1:10" ht="76.5" customHeight="1" x14ac:dyDescent="0.25">
      <c r="A29" s="226"/>
      <c r="B29" s="238"/>
      <c r="C29" s="47"/>
      <c r="D29" s="229"/>
      <c r="E29" s="28" t="s">
        <v>50</v>
      </c>
      <c r="F29" s="17">
        <v>332</v>
      </c>
      <c r="G29" s="21">
        <v>95721.184759036143</v>
      </c>
      <c r="H29" s="21">
        <v>31779433.34</v>
      </c>
      <c r="I29" s="26">
        <v>1588940</v>
      </c>
      <c r="J29" s="22">
        <v>33368373.34</v>
      </c>
    </row>
    <row r="30" spans="1:10" ht="76.5" customHeight="1" x14ac:dyDescent="0.25">
      <c r="A30" s="226"/>
      <c r="B30" s="238"/>
      <c r="C30" s="47"/>
      <c r="D30" s="229"/>
      <c r="E30" s="28" t="s">
        <v>28</v>
      </c>
      <c r="F30" s="17">
        <v>524</v>
      </c>
      <c r="G30" s="21">
        <v>79814.136316793898</v>
      </c>
      <c r="H30" s="21">
        <v>41822607.43</v>
      </c>
      <c r="I30" s="26">
        <v>4521660</v>
      </c>
      <c r="J30" s="22">
        <v>46344267.43</v>
      </c>
    </row>
    <row r="31" spans="1:10" ht="76.5" customHeight="1" x14ac:dyDescent="0.25">
      <c r="A31" s="226"/>
      <c r="B31" s="238"/>
      <c r="C31" s="47"/>
      <c r="D31" s="229"/>
      <c r="E31" s="28" t="s">
        <v>36</v>
      </c>
      <c r="F31" s="17">
        <v>243</v>
      </c>
      <c r="G31" s="21">
        <v>91445.203662551445</v>
      </c>
      <c r="H31" s="21">
        <v>22221184.490000002</v>
      </c>
      <c r="I31" s="26">
        <v>1456590</v>
      </c>
      <c r="J31" s="22">
        <v>23677774.490000002</v>
      </c>
    </row>
    <row r="32" spans="1:10" ht="89.25" customHeight="1" x14ac:dyDescent="0.25">
      <c r="A32" s="226"/>
      <c r="B32" s="238"/>
      <c r="C32" s="47"/>
      <c r="D32" s="229"/>
      <c r="E32" s="28" t="s">
        <v>39</v>
      </c>
      <c r="F32" s="17">
        <v>132</v>
      </c>
      <c r="G32" s="21">
        <v>100909.39280303032</v>
      </c>
      <c r="H32" s="21">
        <v>13320039.850000001</v>
      </c>
      <c r="I32" s="26">
        <v>1556160</v>
      </c>
      <c r="J32" s="22">
        <v>14876199.850000001</v>
      </c>
    </row>
    <row r="33" spans="1:10" ht="76.5" customHeight="1" x14ac:dyDescent="0.25">
      <c r="A33" s="226"/>
      <c r="B33" s="238"/>
      <c r="C33" s="47"/>
      <c r="D33" s="229"/>
      <c r="E33" s="28" t="s">
        <v>31</v>
      </c>
      <c r="F33" s="23">
        <v>160</v>
      </c>
      <c r="G33" s="21">
        <v>107146.55925000001</v>
      </c>
      <c r="H33" s="21">
        <v>17143449.48</v>
      </c>
      <c r="I33" s="26">
        <v>1412100</v>
      </c>
      <c r="J33" s="22">
        <v>18555549.48</v>
      </c>
    </row>
    <row r="34" spans="1:10" ht="16.5" customHeight="1" x14ac:dyDescent="0.25">
      <c r="A34" s="226"/>
      <c r="B34" s="238"/>
      <c r="C34" s="47"/>
      <c r="D34" s="229"/>
      <c r="E34" s="28" t="s">
        <v>32</v>
      </c>
      <c r="F34" s="17">
        <v>138</v>
      </c>
      <c r="G34" s="21">
        <v>122462.55268115942</v>
      </c>
      <c r="H34" s="21">
        <v>16899832.27</v>
      </c>
      <c r="I34" s="26">
        <v>1259200</v>
      </c>
      <c r="J34" s="22">
        <v>18159032.27</v>
      </c>
    </row>
    <row r="35" spans="1:10" ht="76.5" customHeight="1" x14ac:dyDescent="0.25">
      <c r="A35" s="226"/>
      <c r="B35" s="238"/>
      <c r="C35" s="47"/>
      <c r="D35" s="229"/>
      <c r="E35" s="28" t="s">
        <v>25</v>
      </c>
      <c r="F35" s="23">
        <v>261</v>
      </c>
      <c r="G35" s="21">
        <v>94592.019578544059</v>
      </c>
      <c r="H35" s="21">
        <v>24688517.109999999</v>
      </c>
      <c r="I35" s="26">
        <v>1445640</v>
      </c>
      <c r="J35" s="22">
        <v>26134157.109999999</v>
      </c>
    </row>
    <row r="36" spans="1:10" ht="76.5" customHeight="1" x14ac:dyDescent="0.25">
      <c r="A36" s="226"/>
      <c r="B36" s="238"/>
      <c r="C36" s="47"/>
      <c r="D36" s="229"/>
      <c r="E36" s="28" t="s">
        <v>22</v>
      </c>
      <c r="F36" s="23">
        <v>353</v>
      </c>
      <c r="G36" s="21">
        <v>84227.106798866851</v>
      </c>
      <c r="H36" s="21">
        <v>29732168.699999999</v>
      </c>
      <c r="I36" s="26">
        <v>1602800</v>
      </c>
      <c r="J36" s="22">
        <v>31334968.699999999</v>
      </c>
    </row>
    <row r="37" spans="1:10" ht="76.5" customHeight="1" x14ac:dyDescent="0.25">
      <c r="A37" s="226"/>
      <c r="B37" s="238"/>
      <c r="C37" s="47"/>
      <c r="D37" s="229"/>
      <c r="E37" s="28" t="s">
        <v>37</v>
      </c>
      <c r="F37" s="17">
        <v>385</v>
      </c>
      <c r="G37" s="21">
        <v>91448.096831168834</v>
      </c>
      <c r="H37" s="21">
        <v>35207517.280000001</v>
      </c>
      <c r="I37" s="26">
        <v>1731240</v>
      </c>
      <c r="J37" s="22">
        <v>36938757.280000001</v>
      </c>
    </row>
    <row r="38" spans="1:10" ht="76.5" customHeight="1" x14ac:dyDescent="0.25">
      <c r="A38" s="226"/>
      <c r="B38" s="238"/>
      <c r="C38" s="47"/>
      <c r="D38" s="229"/>
      <c r="E38" s="28" t="s">
        <v>40</v>
      </c>
      <c r="F38" s="17">
        <v>700</v>
      </c>
      <c r="G38" s="21">
        <v>77554.613299999997</v>
      </c>
      <c r="H38" s="21">
        <v>54288229.310000002</v>
      </c>
      <c r="I38" s="26">
        <v>1712850</v>
      </c>
      <c r="J38" s="22">
        <v>56001079.310000002</v>
      </c>
    </row>
    <row r="39" spans="1:10" s="35" customFormat="1" ht="63.75" customHeight="1" x14ac:dyDescent="0.25">
      <c r="A39" s="226"/>
      <c r="B39" s="238"/>
      <c r="C39" s="47"/>
      <c r="D39" s="229"/>
      <c r="E39" s="30" t="s">
        <v>135</v>
      </c>
      <c r="F39" s="31">
        <v>116</v>
      </c>
      <c r="G39" s="32">
        <v>118955.79879310344</v>
      </c>
      <c r="H39" s="32">
        <v>13798872.66</v>
      </c>
      <c r="I39" s="33">
        <v>867990</v>
      </c>
      <c r="J39" s="34">
        <v>14666862.66</v>
      </c>
    </row>
    <row r="40" spans="1:10" ht="0.75" customHeight="1" x14ac:dyDescent="0.25">
      <c r="A40" s="226"/>
      <c r="B40" s="238"/>
      <c r="C40" s="47"/>
      <c r="D40" s="229"/>
      <c r="E40" s="28" t="s">
        <v>34</v>
      </c>
      <c r="F40" s="17">
        <v>986</v>
      </c>
      <c r="G40" s="21">
        <v>61979.949959432044</v>
      </c>
      <c r="H40" s="21">
        <v>61112230.659999996</v>
      </c>
      <c r="I40" s="26">
        <v>5997400</v>
      </c>
      <c r="J40" s="22">
        <v>67109630.659999996</v>
      </c>
    </row>
    <row r="41" spans="1:10" ht="89.25" customHeight="1" x14ac:dyDescent="0.25">
      <c r="A41" s="226"/>
      <c r="B41" s="238"/>
      <c r="C41" s="47"/>
      <c r="D41" s="229"/>
      <c r="E41" s="28" t="s">
        <v>29</v>
      </c>
      <c r="F41" s="17">
        <v>438</v>
      </c>
      <c r="G41" s="21">
        <v>82221.348584474879</v>
      </c>
      <c r="H41" s="21">
        <v>36012950.68</v>
      </c>
      <c r="I41" s="26">
        <v>1658740</v>
      </c>
      <c r="J41" s="22">
        <v>37671690.68</v>
      </c>
    </row>
    <row r="42" spans="1:10" ht="31.5" customHeight="1" x14ac:dyDescent="0.25">
      <c r="A42" s="226"/>
      <c r="B42" s="238"/>
      <c r="C42" s="47"/>
      <c r="D42" s="229"/>
      <c r="E42" s="28" t="s">
        <v>136</v>
      </c>
      <c r="F42" s="17">
        <v>499</v>
      </c>
      <c r="G42" s="21">
        <v>85046.104268537078</v>
      </c>
      <c r="H42" s="21">
        <v>42438006.030000001</v>
      </c>
      <c r="I42" s="26">
        <v>2811720</v>
      </c>
      <c r="J42" s="22">
        <v>45249726.030000001</v>
      </c>
    </row>
    <row r="43" spans="1:10" s="45" customFormat="1" ht="76.5" x14ac:dyDescent="0.25">
      <c r="A43" s="226"/>
      <c r="B43" s="238"/>
      <c r="C43" s="47" t="s">
        <v>157</v>
      </c>
      <c r="D43" s="229"/>
      <c r="E43" s="42" t="s">
        <v>44</v>
      </c>
      <c r="F43" s="43">
        <v>202</v>
      </c>
      <c r="G43" s="44">
        <v>67625.698861386132</v>
      </c>
      <c r="H43" s="44">
        <v>13660391.17</v>
      </c>
      <c r="I43" s="26">
        <v>846390</v>
      </c>
      <c r="J43" s="22">
        <v>14506781.17</v>
      </c>
    </row>
    <row r="44" spans="1:10" s="18" customFormat="1" ht="76.5" x14ac:dyDescent="0.25">
      <c r="A44" s="226"/>
      <c r="B44" s="238"/>
      <c r="C44" s="47"/>
      <c r="D44" s="229"/>
      <c r="E44" s="28" t="s">
        <v>26</v>
      </c>
      <c r="F44" s="23">
        <v>134</v>
      </c>
      <c r="G44" s="21">
        <v>96003.089402985061</v>
      </c>
      <c r="H44" s="21">
        <v>12864413.979999999</v>
      </c>
      <c r="I44" s="26">
        <v>430680</v>
      </c>
      <c r="J44" s="22">
        <v>13295093.979999999</v>
      </c>
    </row>
    <row r="45" spans="1:10" s="18" customFormat="1" ht="76.5" x14ac:dyDescent="0.25">
      <c r="A45" s="226"/>
      <c r="B45" s="238"/>
      <c r="C45" s="47"/>
      <c r="D45" s="229"/>
      <c r="E45" s="28" t="s">
        <v>30</v>
      </c>
      <c r="F45" s="17">
        <v>118</v>
      </c>
      <c r="G45" s="21">
        <v>123106.55033898306</v>
      </c>
      <c r="H45" s="21">
        <v>14526572.940000001</v>
      </c>
      <c r="I45" s="26">
        <v>1882210</v>
      </c>
      <c r="J45" s="22">
        <v>16408782.940000001</v>
      </c>
    </row>
    <row r="46" spans="1:10" s="18" customFormat="1" ht="76.5" hidden="1" customHeight="1" x14ac:dyDescent="0.25">
      <c r="A46" s="226"/>
      <c r="B46" s="238"/>
      <c r="C46" s="47"/>
      <c r="D46" s="229"/>
      <c r="E46" s="28" t="s">
        <v>137</v>
      </c>
      <c r="F46" s="23">
        <v>1057</v>
      </c>
      <c r="G46" s="21">
        <v>76170.702024597922</v>
      </c>
      <c r="H46" s="21">
        <v>80512432.040000007</v>
      </c>
      <c r="I46" s="26">
        <v>10016260</v>
      </c>
      <c r="J46" s="22">
        <v>90528692.040000007</v>
      </c>
    </row>
    <row r="47" spans="1:10" s="18" customFormat="1" ht="89.25" x14ac:dyDescent="0.25">
      <c r="A47" s="226"/>
      <c r="B47" s="238"/>
      <c r="C47" s="47"/>
      <c r="D47" s="229"/>
      <c r="E47" s="28" t="s">
        <v>33</v>
      </c>
      <c r="F47" s="17">
        <v>266</v>
      </c>
      <c r="G47" s="21">
        <v>81342.922857142854</v>
      </c>
      <c r="H47" s="21">
        <v>21637217.48</v>
      </c>
      <c r="I47" s="26">
        <v>952960</v>
      </c>
      <c r="J47" s="22">
        <v>22590177.48</v>
      </c>
    </row>
    <row r="48" spans="1:10" s="18" customFormat="1" ht="81" customHeight="1" x14ac:dyDescent="0.25">
      <c r="A48" s="226"/>
      <c r="B48" s="238"/>
      <c r="C48" s="47"/>
      <c r="D48" s="229"/>
      <c r="E48" s="28" t="s">
        <v>20</v>
      </c>
      <c r="F48" s="17">
        <v>161</v>
      </c>
      <c r="G48" s="21">
        <v>101052.71031055901</v>
      </c>
      <c r="H48" s="21">
        <v>16269486.359999999</v>
      </c>
      <c r="I48" s="26">
        <v>837100</v>
      </c>
      <c r="J48" s="22">
        <v>17106586.359999999</v>
      </c>
    </row>
    <row r="49" spans="1:10" s="18" customFormat="1" ht="83.25" customHeight="1" x14ac:dyDescent="0.25">
      <c r="A49" s="226"/>
      <c r="B49" s="238"/>
      <c r="C49" s="47"/>
      <c r="D49" s="230"/>
      <c r="E49" s="28" t="s">
        <v>27</v>
      </c>
      <c r="F49" s="17">
        <v>86</v>
      </c>
      <c r="G49" s="21">
        <v>137148.37337209302</v>
      </c>
      <c r="H49" s="21">
        <v>11794760.109999999</v>
      </c>
      <c r="I49" s="26">
        <v>637930</v>
      </c>
      <c r="J49" s="22">
        <v>12432690.109999999</v>
      </c>
    </row>
    <row r="50" spans="1:10" s="18" customFormat="1" ht="76.5" hidden="1" customHeight="1" x14ac:dyDescent="0.25">
      <c r="A50" s="226"/>
      <c r="B50" s="238"/>
      <c r="C50" s="47"/>
      <c r="D50" s="20"/>
      <c r="E50" s="28" t="s">
        <v>140</v>
      </c>
      <c r="F50" s="17">
        <v>504</v>
      </c>
      <c r="G50" s="21">
        <v>62093.634265873021</v>
      </c>
      <c r="H50" s="21">
        <v>31295191.670000002</v>
      </c>
      <c r="I50" s="26">
        <v>7184610</v>
      </c>
      <c r="J50" s="22">
        <v>38479801.670000002</v>
      </c>
    </row>
    <row r="51" spans="1:10" s="18" customFormat="1" ht="89.25" x14ac:dyDescent="0.25">
      <c r="A51" s="227"/>
      <c r="B51" s="239"/>
      <c r="C51" s="48" t="s">
        <v>159</v>
      </c>
      <c r="D51" s="50" t="s">
        <v>160</v>
      </c>
      <c r="E51" s="28" t="s">
        <v>138</v>
      </c>
      <c r="F51" s="51">
        <v>282</v>
      </c>
      <c r="G51" s="51">
        <v>129318.11379432626</v>
      </c>
      <c r="H51" s="51">
        <v>36467708.090000004</v>
      </c>
      <c r="I51" s="52">
        <v>2210000</v>
      </c>
      <c r="J51" s="51">
        <v>38677708.090000004</v>
      </c>
    </row>
    <row r="52" spans="1:10" ht="63.75" hidden="1" x14ac:dyDescent="0.25">
      <c r="A52" s="27"/>
      <c r="B52" s="27"/>
      <c r="C52" s="27"/>
      <c r="D52" s="27"/>
      <c r="E52" s="28" t="s">
        <v>53</v>
      </c>
      <c r="F52" s="17">
        <v>122</v>
      </c>
      <c r="G52" s="21">
        <v>45814.442868852464</v>
      </c>
      <c r="H52" s="21">
        <v>5589362.0300000003</v>
      </c>
      <c r="I52" s="26">
        <v>1090110</v>
      </c>
      <c r="J52" s="22">
        <v>6679472.0300000003</v>
      </c>
    </row>
    <row r="53" spans="1:10" ht="59.25" customHeight="1" x14ac:dyDescent="0.25">
      <c r="A53" s="232" t="s">
        <v>146</v>
      </c>
      <c r="B53" s="234" t="s">
        <v>161</v>
      </c>
      <c r="C53" s="233" t="s">
        <v>162</v>
      </c>
      <c r="D53" s="240" t="s">
        <v>24</v>
      </c>
      <c r="E53" s="240"/>
      <c r="F53" s="55">
        <v>920</v>
      </c>
      <c r="G53" s="55">
        <v>81757.215228260859</v>
      </c>
      <c r="H53" s="55">
        <v>75216638.00999999</v>
      </c>
      <c r="I53" s="55">
        <v>11756820</v>
      </c>
      <c r="J53" s="55">
        <v>86973458.00999999</v>
      </c>
    </row>
    <row r="54" spans="1:10" ht="41.25" customHeight="1" x14ac:dyDescent="0.25">
      <c r="A54" s="232"/>
      <c r="B54" s="235"/>
      <c r="C54" s="233"/>
      <c r="D54" s="240" t="s">
        <v>23</v>
      </c>
      <c r="E54" s="240"/>
      <c r="F54" s="55">
        <v>1274</v>
      </c>
      <c r="G54" s="55">
        <v>67015.998948194669</v>
      </c>
      <c r="H54" s="55">
        <v>85378382.660000011</v>
      </c>
      <c r="I54" s="55">
        <v>2981930</v>
      </c>
      <c r="J54" s="55">
        <v>88360312.660000011</v>
      </c>
    </row>
    <row r="55" spans="1:10" ht="45.75" customHeight="1" x14ac:dyDescent="0.25">
      <c r="A55" s="232"/>
      <c r="B55" s="235"/>
      <c r="C55" s="233"/>
      <c r="D55" s="240" t="s">
        <v>38</v>
      </c>
      <c r="E55" s="240"/>
      <c r="F55" s="55">
        <v>953</v>
      </c>
      <c r="G55" s="55">
        <v>73393.454123819523</v>
      </c>
      <c r="H55" s="55">
        <v>69943961.780000001</v>
      </c>
      <c r="I55" s="55">
        <v>2364500</v>
      </c>
      <c r="J55" s="55">
        <v>72308461.780000001</v>
      </c>
    </row>
    <row r="56" spans="1:10" ht="54" customHeight="1" x14ac:dyDescent="0.25">
      <c r="A56" s="232"/>
      <c r="B56" s="235"/>
      <c r="C56" s="233"/>
      <c r="D56" s="240" t="s">
        <v>127</v>
      </c>
      <c r="E56" s="240"/>
      <c r="F56" s="55">
        <v>1114</v>
      </c>
      <c r="G56" s="55">
        <v>55183.475116696587</v>
      </c>
      <c r="H56" s="55">
        <v>61474391.280000001</v>
      </c>
      <c r="I56" s="55">
        <v>2643830</v>
      </c>
      <c r="J56" s="55">
        <v>64118221.280000001</v>
      </c>
    </row>
    <row r="57" spans="1:10" ht="96" customHeight="1" x14ac:dyDescent="0.25">
      <c r="A57" s="232"/>
      <c r="B57" s="236"/>
      <c r="C57" s="233"/>
      <c r="D57" s="231" t="s">
        <v>128</v>
      </c>
      <c r="E57" s="231"/>
      <c r="F57" s="56">
        <v>1487</v>
      </c>
      <c r="G57" s="56">
        <v>58907.954250168121</v>
      </c>
      <c r="H57" s="56">
        <v>87596127.969999999</v>
      </c>
      <c r="I57" s="56">
        <v>7978700</v>
      </c>
      <c r="J57" s="56">
        <v>95574827.969999999</v>
      </c>
    </row>
    <row r="58" spans="1:10" s="27" customFormat="1" ht="141" customHeight="1" x14ac:dyDescent="0.25">
      <c r="A58" s="57" t="s">
        <v>147</v>
      </c>
      <c r="B58" s="53" t="s">
        <v>163</v>
      </c>
      <c r="C58" s="57" t="s">
        <v>164</v>
      </c>
      <c r="E58" s="54"/>
    </row>
    <row r="59" spans="1:10" x14ac:dyDescent="0.25">
      <c r="G59" s="49"/>
    </row>
  </sheetData>
  <mergeCells count="12">
    <mergeCell ref="D5:E5"/>
    <mergeCell ref="A6:A51"/>
    <mergeCell ref="D6:D49"/>
    <mergeCell ref="D57:E57"/>
    <mergeCell ref="A53:A57"/>
    <mergeCell ref="C53:C57"/>
    <mergeCell ref="B53:B57"/>
    <mergeCell ref="B6:B51"/>
    <mergeCell ref="D53:E53"/>
    <mergeCell ref="D54:E54"/>
    <mergeCell ref="D55:E55"/>
    <mergeCell ref="D56:E56"/>
  </mergeCells>
  <pageMargins left="1.1811023622047243" right="0.5905511811023621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8"/>
  <sheetViews>
    <sheetView workbookViewId="0">
      <selection activeCell="H20" sqref="H20"/>
    </sheetView>
  </sheetViews>
  <sheetFormatPr defaultRowHeight="15" x14ac:dyDescent="0.25"/>
  <cols>
    <col min="1" max="1" width="3.5703125" customWidth="1"/>
    <col min="2" max="2" width="10.85546875" customWidth="1"/>
    <col min="3" max="3" width="4.42578125" customWidth="1"/>
    <col min="4" max="4" width="15.28515625" customWidth="1"/>
    <col min="5" max="5" width="10.7109375" customWidth="1"/>
    <col min="6" max="6" width="11.7109375" customWidth="1"/>
    <col min="7" max="7" width="11.42578125" customWidth="1"/>
    <col min="8" max="8" width="13.28515625" customWidth="1"/>
    <col min="9" max="9" width="15.85546875" customWidth="1"/>
    <col min="10" max="10" width="16.7109375" customWidth="1"/>
    <col min="11" max="11" width="15.5703125" customWidth="1"/>
    <col min="12" max="12" width="14" customWidth="1"/>
    <col min="13" max="13" width="0" hidden="1" customWidth="1"/>
    <col min="14" max="14" width="14" customWidth="1"/>
    <col min="15" max="15" width="15.28515625" customWidth="1"/>
    <col min="16" max="16" width="15.7109375" customWidth="1"/>
    <col min="17" max="17" width="0" hidden="1" customWidth="1"/>
    <col min="18" max="18" width="15.28515625" customWidth="1"/>
    <col min="19" max="19" width="15.85546875" customWidth="1"/>
    <col min="20" max="21" width="9.140625" customWidth="1"/>
    <col min="22" max="24" width="20.85546875" customWidth="1"/>
    <col min="25" max="25" width="19.28515625" customWidth="1"/>
    <col min="26" max="26" width="16" customWidth="1"/>
    <col min="27" max="27" width="15.28515625" customWidth="1"/>
    <col min="28" max="28" width="18.140625" customWidth="1"/>
    <col min="29" max="31" width="18.85546875" customWidth="1"/>
    <col min="32" max="32" width="15.7109375" customWidth="1"/>
    <col min="33" max="35" width="21.85546875" customWidth="1"/>
    <col min="36" max="36" width="16.140625" customWidth="1"/>
    <col min="37" max="37" width="20.85546875" customWidth="1"/>
    <col min="38" max="38" width="15.7109375" customWidth="1"/>
  </cols>
  <sheetData>
    <row r="3" ht="15.75" customHeight="1" x14ac:dyDescent="0.25"/>
    <row r="4" ht="15.75" customHeight="1" x14ac:dyDescent="0.25"/>
    <row r="6" ht="30" customHeight="1" x14ac:dyDescent="0.25"/>
    <row r="8" ht="84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3"/>
  <sheetViews>
    <sheetView topLeftCell="C128" zoomScale="85" zoomScaleNormal="85" workbookViewId="0">
      <selection activeCell="P141" sqref="P141:P189"/>
    </sheetView>
  </sheetViews>
  <sheetFormatPr defaultRowHeight="15" x14ac:dyDescent="0.25"/>
  <cols>
    <col min="1" max="1" width="63.5703125" style="70" customWidth="1"/>
    <col min="2" max="2" width="23.140625" style="76" customWidth="1"/>
    <col min="3" max="3" width="28.42578125" style="72" customWidth="1"/>
    <col min="4" max="5" width="21.7109375" style="72" customWidth="1"/>
    <col min="6" max="6" width="20.5703125" style="72" customWidth="1"/>
    <col min="7" max="9" width="19.85546875" style="72" customWidth="1"/>
    <col min="10" max="10" width="19.7109375" hidden="1" customWidth="1"/>
    <col min="11" max="11" width="9.140625" hidden="1" customWidth="1"/>
    <col min="12" max="12" width="18.5703125" style="80" hidden="1" customWidth="1"/>
    <col min="13" max="13" width="21.140625" style="80" customWidth="1"/>
    <col min="14" max="14" width="18.28515625" style="80" customWidth="1"/>
    <col min="15" max="15" width="9.140625" style="80"/>
    <col min="16" max="16" width="17" style="80" customWidth="1"/>
    <col min="17" max="17" width="9.140625" style="80"/>
  </cols>
  <sheetData>
    <row r="1" spans="1:16" x14ac:dyDescent="0.25">
      <c r="A1" s="71"/>
      <c r="B1" s="72"/>
      <c r="C1" s="72" t="s">
        <v>246</v>
      </c>
      <c r="D1" s="72" t="s">
        <v>247</v>
      </c>
      <c r="F1" s="72" t="s">
        <v>248</v>
      </c>
      <c r="G1" s="72" t="s">
        <v>249</v>
      </c>
      <c r="H1" s="72" t="s">
        <v>251</v>
      </c>
      <c r="I1" s="72" t="s">
        <v>252</v>
      </c>
    </row>
    <row r="2" spans="1:16" ht="24" x14ac:dyDescent="0.25">
      <c r="A2" s="58" t="s">
        <v>71</v>
      </c>
      <c r="B2" s="77">
        <v>20521310.5</v>
      </c>
      <c r="C2" s="72">
        <v>20525591.920000002</v>
      </c>
      <c r="D2" s="72">
        <v>4281.42</v>
      </c>
      <c r="E2" s="72">
        <f>C2-D2</f>
        <v>20521310.5</v>
      </c>
      <c r="F2" s="73">
        <v>14793209.08</v>
      </c>
      <c r="G2" s="74">
        <v>222021.42</v>
      </c>
      <c r="H2" s="97"/>
      <c r="I2" s="97"/>
      <c r="J2" s="80">
        <f>E2-B2</f>
        <v>0</v>
      </c>
      <c r="M2" s="80">
        <f>E2-F2-G2</f>
        <v>5506080</v>
      </c>
      <c r="N2" s="80">
        <f>M2/514685160*493442300</f>
        <v>5278824.7852026662</v>
      </c>
      <c r="P2" s="80">
        <v>5278824.7852026662</v>
      </c>
    </row>
    <row r="3" spans="1:16" ht="24" x14ac:dyDescent="0.25">
      <c r="A3" s="58" t="s">
        <v>72</v>
      </c>
      <c r="B3" s="77">
        <v>31019315.530000001</v>
      </c>
      <c r="C3" s="72">
        <v>31353823.870000001</v>
      </c>
      <c r="D3" s="72">
        <v>334508.34000000003</v>
      </c>
      <c r="E3" s="72">
        <f t="shared" ref="E3:E66" si="0">C3-D3</f>
        <v>31019315.530000001</v>
      </c>
      <c r="F3" s="73">
        <v>21374409.91</v>
      </c>
      <c r="G3" s="74">
        <v>273985.62</v>
      </c>
      <c r="H3" s="97"/>
      <c r="I3" s="97"/>
      <c r="J3" s="80">
        <f t="shared" ref="J3:J66" si="1">E3-B3</f>
        <v>0</v>
      </c>
      <c r="M3" s="80">
        <f t="shared" ref="M3:M66" si="2">E3-F3-G3</f>
        <v>9370920.0000000019</v>
      </c>
      <c r="N3" s="80">
        <f t="shared" ref="N3:N66" si="3">M3/514685160*493442300</f>
        <v>8984149.2960784044</v>
      </c>
      <c r="P3" s="80">
        <v>8984149.2960784044</v>
      </c>
    </row>
    <row r="4" spans="1:16" ht="24" x14ac:dyDescent="0.25">
      <c r="A4" s="60" t="s">
        <v>73</v>
      </c>
      <c r="B4" s="77">
        <v>46421963.100000001</v>
      </c>
      <c r="C4" s="72">
        <v>46758271.619999997</v>
      </c>
      <c r="D4" s="72">
        <v>338832.79</v>
      </c>
      <c r="E4" s="72">
        <f t="shared" si="0"/>
        <v>46419438.829999998</v>
      </c>
      <c r="F4" s="73">
        <v>35707138.5</v>
      </c>
      <c r="G4" s="74">
        <v>519624.6</v>
      </c>
      <c r="H4" s="97"/>
      <c r="I4" s="97"/>
      <c r="J4" s="86">
        <f t="shared" si="1"/>
        <v>-2524.2700000032783</v>
      </c>
      <c r="M4" s="80">
        <f t="shared" si="2"/>
        <v>10192675.729999999</v>
      </c>
      <c r="N4" s="80">
        <f t="shared" si="3"/>
        <v>9771988.2876851913</v>
      </c>
      <c r="P4" s="80">
        <v>9771988.2876851913</v>
      </c>
    </row>
    <row r="5" spans="1:16" ht="24" x14ac:dyDescent="0.25">
      <c r="A5" s="61" t="s">
        <v>172</v>
      </c>
      <c r="B5" s="77">
        <v>35246654.759999998</v>
      </c>
      <c r="C5" s="72">
        <v>35491453.549999997</v>
      </c>
      <c r="D5" s="72">
        <v>32881.730000000003</v>
      </c>
      <c r="E5" s="72">
        <f t="shared" si="0"/>
        <v>35458571.82</v>
      </c>
      <c r="F5" s="73">
        <v>22544146.899999999</v>
      </c>
      <c r="G5" s="74">
        <v>349567.86</v>
      </c>
      <c r="H5" s="97"/>
      <c r="I5" s="97"/>
      <c r="J5" s="86">
        <f t="shared" si="1"/>
        <v>211917.06000000238</v>
      </c>
      <c r="M5" s="80">
        <f t="shared" si="2"/>
        <v>12564857.060000002</v>
      </c>
      <c r="N5" s="80">
        <f t="shared" si="3"/>
        <v>12046261.382118806</v>
      </c>
      <c r="P5" s="80">
        <v>12046261.382118806</v>
      </c>
    </row>
    <row r="6" spans="1:16" ht="24" x14ac:dyDescent="0.25">
      <c r="A6" s="67" t="s">
        <v>213</v>
      </c>
      <c r="B6" s="77">
        <v>17681137.890000001</v>
      </c>
      <c r="C6" s="72">
        <v>17710654.800000001</v>
      </c>
      <c r="D6" s="72">
        <v>29516.91</v>
      </c>
      <c r="E6" s="72">
        <f t="shared" si="0"/>
        <v>17681137.890000001</v>
      </c>
      <c r="F6" s="73">
        <v>12670885.99</v>
      </c>
      <c r="G6" s="74">
        <v>204701.9</v>
      </c>
      <c r="H6" s="97"/>
      <c r="I6" s="97"/>
      <c r="J6" s="86">
        <f t="shared" si="1"/>
        <v>0</v>
      </c>
      <c r="M6" s="80">
        <f t="shared" si="2"/>
        <v>4805550</v>
      </c>
      <c r="N6" s="80">
        <f t="shared" si="3"/>
        <v>4607208.112946175</v>
      </c>
      <c r="P6" s="80">
        <v>4607208.112946175</v>
      </c>
    </row>
    <row r="7" spans="1:16" ht="24" x14ac:dyDescent="0.25">
      <c r="A7" s="67" t="s">
        <v>173</v>
      </c>
      <c r="B7" s="77">
        <v>33331163.800000001</v>
      </c>
      <c r="C7" s="72">
        <v>33111208.18</v>
      </c>
      <c r="D7" s="72">
        <v>500.5</v>
      </c>
      <c r="E7" s="72">
        <f t="shared" si="0"/>
        <v>33110707.68</v>
      </c>
      <c r="F7" s="73">
        <v>19693412.600000001</v>
      </c>
      <c r="G7" s="74">
        <v>377911.2</v>
      </c>
      <c r="H7" s="97"/>
      <c r="I7" s="97"/>
      <c r="J7" s="86">
        <f t="shared" si="1"/>
        <v>-220456.12000000104</v>
      </c>
      <c r="M7" s="80">
        <f t="shared" si="2"/>
        <v>13039383.879999999</v>
      </c>
      <c r="N7" s="80">
        <f t="shared" si="3"/>
        <v>12501202.817524647</v>
      </c>
      <c r="P7" s="80">
        <v>12501202.817524647</v>
      </c>
    </row>
    <row r="8" spans="1:16" ht="24" x14ac:dyDescent="0.25">
      <c r="A8" s="67" t="s">
        <v>74</v>
      </c>
      <c r="B8" s="77">
        <v>24577408.100000001</v>
      </c>
      <c r="C8" s="72">
        <v>25039497.420000002</v>
      </c>
      <c r="D8" s="72">
        <v>462089.32</v>
      </c>
      <c r="E8" s="72">
        <f t="shared" si="0"/>
        <v>24577408.100000001</v>
      </c>
      <c r="F8" s="73">
        <v>19374515.859999999</v>
      </c>
      <c r="G8" s="74">
        <v>75582.240000000005</v>
      </c>
      <c r="H8" s="97"/>
      <c r="I8" s="97"/>
      <c r="J8" s="80">
        <f t="shared" si="1"/>
        <v>0</v>
      </c>
      <c r="M8" s="80">
        <f t="shared" si="2"/>
        <v>5127310.0000000019</v>
      </c>
      <c r="N8" s="80">
        <f t="shared" si="3"/>
        <v>4915687.9503053883</v>
      </c>
      <c r="P8" s="80">
        <v>4915687.9503053883</v>
      </c>
    </row>
    <row r="9" spans="1:16" ht="24" x14ac:dyDescent="0.25">
      <c r="A9" s="67" t="s">
        <v>75</v>
      </c>
      <c r="B9" s="77">
        <v>25073130.440000001</v>
      </c>
      <c r="C9" s="72">
        <v>25169475.449999999</v>
      </c>
      <c r="D9" s="72">
        <v>96345.01</v>
      </c>
      <c r="E9" s="72">
        <f t="shared" si="0"/>
        <v>25073130.439999998</v>
      </c>
      <c r="F9" s="73">
        <v>18954924.280000001</v>
      </c>
      <c r="G9" s="74">
        <v>264536.15999999997</v>
      </c>
      <c r="H9" s="97"/>
      <c r="I9" s="97"/>
      <c r="J9" s="80">
        <f t="shared" si="1"/>
        <v>0</v>
      </c>
      <c r="M9" s="80">
        <f t="shared" si="2"/>
        <v>5853669.9999999963</v>
      </c>
      <c r="N9" s="80">
        <f t="shared" si="3"/>
        <v>5612068.5279540569</v>
      </c>
      <c r="P9" s="80">
        <v>5612068.5279540569</v>
      </c>
    </row>
    <row r="10" spans="1:16" ht="24" x14ac:dyDescent="0.25">
      <c r="A10" s="67" t="s">
        <v>76</v>
      </c>
      <c r="B10" s="77">
        <v>25393953.969999999</v>
      </c>
      <c r="C10" s="72">
        <v>25431926.809999999</v>
      </c>
      <c r="D10" s="72">
        <v>37972.839999999997</v>
      </c>
      <c r="E10" s="72">
        <f t="shared" si="0"/>
        <v>25393953.969999999</v>
      </c>
      <c r="F10" s="73">
        <v>19193956.129999999</v>
      </c>
      <c r="G10" s="74">
        <v>264537.84000000003</v>
      </c>
      <c r="H10" s="97"/>
      <c r="I10" s="97"/>
      <c r="J10" s="80">
        <f t="shared" si="1"/>
        <v>0</v>
      </c>
      <c r="M10" s="80">
        <f t="shared" si="2"/>
        <v>5935460</v>
      </c>
      <c r="N10" s="80">
        <f t="shared" si="3"/>
        <v>5690482.7680634893</v>
      </c>
      <c r="P10" s="80">
        <v>5690482.7680634893</v>
      </c>
    </row>
    <row r="11" spans="1:16" ht="24" x14ac:dyDescent="0.25">
      <c r="A11" s="67" t="s">
        <v>139</v>
      </c>
      <c r="B11" s="77">
        <v>38663031.600000001</v>
      </c>
      <c r="C11" s="72">
        <v>38676487.149999999</v>
      </c>
      <c r="D11" s="72">
        <v>2392.2199999999998</v>
      </c>
      <c r="E11" s="72">
        <f t="shared" si="0"/>
        <v>38674094.93</v>
      </c>
      <c r="F11" s="73">
        <v>27346518.640000001</v>
      </c>
      <c r="G11" s="74">
        <v>484982.96</v>
      </c>
      <c r="H11" s="97"/>
      <c r="I11" s="97"/>
      <c r="J11" s="86">
        <f t="shared" si="1"/>
        <v>11063.329999998212</v>
      </c>
      <c r="M11" s="80">
        <f t="shared" si="2"/>
        <v>10842593.329999998</v>
      </c>
      <c r="N11" s="80">
        <f t="shared" si="3"/>
        <v>10395081.511034548</v>
      </c>
      <c r="P11" s="80">
        <v>10395081.511034548</v>
      </c>
    </row>
    <row r="12" spans="1:16" ht="24" x14ac:dyDescent="0.25">
      <c r="A12" s="67" t="s">
        <v>77</v>
      </c>
      <c r="B12" s="77">
        <v>16850314.73</v>
      </c>
      <c r="C12" s="72">
        <v>17042413.949999999</v>
      </c>
      <c r="D12" s="72">
        <v>192099.22</v>
      </c>
      <c r="E12" s="72">
        <f t="shared" si="0"/>
        <v>16850314.73</v>
      </c>
      <c r="F12" s="73">
        <v>11360917.65</v>
      </c>
      <c r="G12" s="74">
        <v>182657.08</v>
      </c>
      <c r="H12" s="97"/>
      <c r="I12" s="97"/>
      <c r="J12" s="80">
        <f t="shared" si="1"/>
        <v>0</v>
      </c>
      <c r="M12" s="80">
        <f t="shared" si="2"/>
        <v>5306740</v>
      </c>
      <c r="N12" s="80">
        <f t="shared" si="3"/>
        <v>5087712.2454861533</v>
      </c>
      <c r="P12" s="80">
        <v>5087712.2454861533</v>
      </c>
    </row>
    <row r="13" spans="1:16" ht="24" x14ac:dyDescent="0.25">
      <c r="A13" s="67" t="s">
        <v>214</v>
      </c>
      <c r="B13" s="77">
        <v>44830215.850000001</v>
      </c>
      <c r="C13" s="72">
        <v>45168979</v>
      </c>
      <c r="D13" s="72">
        <v>338763.15</v>
      </c>
      <c r="E13" s="72">
        <f t="shared" si="0"/>
        <v>44830215.850000001</v>
      </c>
      <c r="F13" s="73">
        <v>32824169.789999999</v>
      </c>
      <c r="G13" s="74">
        <v>570016.06000000006</v>
      </c>
      <c r="H13" s="97"/>
      <c r="I13" s="97"/>
      <c r="J13" s="80">
        <f t="shared" si="1"/>
        <v>0</v>
      </c>
      <c r="M13" s="80">
        <f t="shared" si="2"/>
        <v>11436030.000000002</v>
      </c>
      <c r="N13" s="80">
        <f t="shared" si="3"/>
        <v>10964024.970273091</v>
      </c>
      <c r="P13" s="80">
        <v>10964024.970273091</v>
      </c>
    </row>
    <row r="14" spans="1:16" ht="24" x14ac:dyDescent="0.25">
      <c r="A14" s="67" t="s">
        <v>78</v>
      </c>
      <c r="B14" s="77">
        <v>47442230.289999999</v>
      </c>
      <c r="C14" s="72">
        <v>47575833.020000003</v>
      </c>
      <c r="D14" s="72">
        <v>135828.76999999999</v>
      </c>
      <c r="E14" s="72">
        <f t="shared" si="0"/>
        <v>47440004.25</v>
      </c>
      <c r="F14" s="73">
        <v>37276746.090000004</v>
      </c>
      <c r="G14" s="74">
        <v>535374.19999999995</v>
      </c>
      <c r="H14" s="97"/>
      <c r="I14" s="97"/>
      <c r="J14" s="82">
        <f t="shared" si="1"/>
        <v>-2226.0399999991059</v>
      </c>
      <c r="M14" s="80">
        <f t="shared" si="2"/>
        <v>9627883.9599999972</v>
      </c>
      <c r="N14" s="80">
        <f t="shared" si="3"/>
        <v>9230507.453052476</v>
      </c>
      <c r="P14" s="80">
        <v>9230507.453052476</v>
      </c>
    </row>
    <row r="15" spans="1:16" ht="24" x14ac:dyDescent="0.25">
      <c r="A15" s="67" t="s">
        <v>215</v>
      </c>
      <c r="B15" s="77">
        <v>40309956.75</v>
      </c>
      <c r="C15" s="72">
        <v>40676510.469999999</v>
      </c>
      <c r="D15" s="72">
        <v>116553.72</v>
      </c>
      <c r="E15" s="72">
        <f t="shared" si="0"/>
        <v>40559956.75</v>
      </c>
      <c r="F15" s="73">
        <v>28776382.57</v>
      </c>
      <c r="G15" s="74">
        <v>450344.18</v>
      </c>
      <c r="H15" s="97"/>
      <c r="I15" s="97"/>
      <c r="J15" s="87">
        <f t="shared" si="1"/>
        <v>250000</v>
      </c>
      <c r="M15" s="80">
        <f t="shared" si="2"/>
        <v>11333230</v>
      </c>
      <c r="N15" s="80">
        <f t="shared" si="3"/>
        <v>10865467.886482291</v>
      </c>
      <c r="P15" s="80">
        <v>10865467.886482291</v>
      </c>
    </row>
    <row r="16" spans="1:16" ht="24" x14ac:dyDescent="0.25">
      <c r="A16" s="67" t="s">
        <v>80</v>
      </c>
      <c r="B16" s="77">
        <v>20690133.84</v>
      </c>
      <c r="C16" s="72">
        <v>20882103.129999999</v>
      </c>
      <c r="D16" s="72">
        <v>189743.25</v>
      </c>
      <c r="E16" s="72">
        <f t="shared" si="0"/>
        <v>20692359.879999999</v>
      </c>
      <c r="F16" s="73">
        <v>15334385.640000001</v>
      </c>
      <c r="G16" s="74">
        <v>220448.2</v>
      </c>
      <c r="H16" s="97"/>
      <c r="I16" s="97"/>
      <c r="J16" s="82">
        <f t="shared" si="1"/>
        <v>2226.0399999991059</v>
      </c>
      <c r="M16" s="80">
        <f t="shared" si="2"/>
        <v>5137526.0399999982</v>
      </c>
      <c r="N16" s="80">
        <f t="shared" si="3"/>
        <v>4925482.3385377787</v>
      </c>
      <c r="P16" s="80">
        <v>4925482.3385377787</v>
      </c>
    </row>
    <row r="17" spans="1:17" ht="24" x14ac:dyDescent="0.25">
      <c r="A17" s="67" t="s">
        <v>216</v>
      </c>
      <c r="B17" s="77">
        <v>16407517.73</v>
      </c>
      <c r="C17" s="72">
        <v>16469915.050000001</v>
      </c>
      <c r="D17" s="72">
        <v>62397.32</v>
      </c>
      <c r="E17" s="72">
        <f t="shared" si="0"/>
        <v>16407517.73</v>
      </c>
      <c r="F17" s="73">
        <v>11478972.130000001</v>
      </c>
      <c r="G17" s="74">
        <v>188955.6</v>
      </c>
      <c r="H17" s="97"/>
      <c r="I17" s="97"/>
      <c r="J17" s="80">
        <f t="shared" si="1"/>
        <v>0</v>
      </c>
      <c r="M17" s="80">
        <f t="shared" si="2"/>
        <v>4739590</v>
      </c>
      <c r="N17" s="80">
        <f t="shared" si="3"/>
        <v>4543970.5132687325</v>
      </c>
      <c r="P17" s="80">
        <v>4543970.5132687325</v>
      </c>
    </row>
    <row r="18" spans="1:17" ht="24" x14ac:dyDescent="0.25">
      <c r="A18" s="67" t="s">
        <v>217</v>
      </c>
      <c r="B18" s="77">
        <v>50162073.82</v>
      </c>
      <c r="C18" s="72">
        <v>51810908.530000001</v>
      </c>
      <c r="D18" s="72">
        <v>1482371.61</v>
      </c>
      <c r="E18" s="72">
        <f t="shared" si="0"/>
        <v>50328536.920000002</v>
      </c>
      <c r="F18" s="73">
        <v>38506602.020000003</v>
      </c>
      <c r="G18" s="74">
        <v>614101.80000000005</v>
      </c>
      <c r="H18" s="97"/>
      <c r="I18" s="97"/>
      <c r="J18" s="88">
        <f t="shared" si="1"/>
        <v>166463.10000000149</v>
      </c>
      <c r="K18" t="s">
        <v>250</v>
      </c>
      <c r="M18" s="80">
        <f t="shared" si="2"/>
        <v>11207833.099999998</v>
      </c>
      <c r="N18" s="80">
        <f t="shared" si="3"/>
        <v>10745246.555933589</v>
      </c>
      <c r="P18" s="80">
        <v>10745246.555933589</v>
      </c>
    </row>
    <row r="19" spans="1:17" x14ac:dyDescent="0.25">
      <c r="A19" s="67" t="s">
        <v>218</v>
      </c>
      <c r="B19" s="77">
        <v>13417977.74</v>
      </c>
      <c r="C19" s="72">
        <v>13573147.189999999</v>
      </c>
      <c r="D19" s="72">
        <v>156628.96</v>
      </c>
      <c r="E19" s="72">
        <f t="shared" si="0"/>
        <v>13416518.229999999</v>
      </c>
      <c r="F19" s="73">
        <v>8725989.7300000004</v>
      </c>
      <c r="G19" s="74">
        <v>199978.01</v>
      </c>
      <c r="H19" s="97"/>
      <c r="I19" s="97"/>
      <c r="J19" s="81">
        <f t="shared" si="1"/>
        <v>-1459.5100000016391</v>
      </c>
      <c r="M19" s="80">
        <f t="shared" si="2"/>
        <v>4490550.4899999984</v>
      </c>
      <c r="N19" s="80">
        <f t="shared" si="3"/>
        <v>4305209.7364760349</v>
      </c>
      <c r="P19" s="80">
        <v>4305209.7364760349</v>
      </c>
    </row>
    <row r="20" spans="1:17" ht="24" x14ac:dyDescent="0.25">
      <c r="A20" s="67" t="s">
        <v>174</v>
      </c>
      <c r="B20" s="77">
        <v>40963784.439999998</v>
      </c>
      <c r="C20" s="72">
        <v>40981503.950000003</v>
      </c>
      <c r="D20" s="72">
        <v>16260</v>
      </c>
      <c r="E20" s="72">
        <f t="shared" si="0"/>
        <v>40965243.950000003</v>
      </c>
      <c r="F20" s="73">
        <v>27959654.550000001</v>
      </c>
      <c r="G20" s="74">
        <v>319649.89</v>
      </c>
      <c r="H20" s="97"/>
      <c r="I20" s="97"/>
      <c r="J20" s="81">
        <f t="shared" si="1"/>
        <v>1459.5100000053644</v>
      </c>
      <c r="M20" s="80">
        <f t="shared" si="2"/>
        <v>12685939.510000002</v>
      </c>
      <c r="N20" s="80">
        <f t="shared" si="3"/>
        <v>12162346.335136754</v>
      </c>
      <c r="P20" s="80">
        <v>12162346.335136754</v>
      </c>
    </row>
    <row r="21" spans="1:17" ht="24" x14ac:dyDescent="0.25">
      <c r="A21" s="67" t="s">
        <v>84</v>
      </c>
      <c r="B21" s="77">
        <v>36409619.079999998</v>
      </c>
      <c r="C21" s="72">
        <v>36421623.009999998</v>
      </c>
      <c r="D21" s="72">
        <v>12003.93</v>
      </c>
      <c r="E21" s="72">
        <f t="shared" si="0"/>
        <v>36409619.079999998</v>
      </c>
      <c r="F21" s="73">
        <v>27046685.640000001</v>
      </c>
      <c r="G21" s="74">
        <v>453493.44</v>
      </c>
      <c r="H21" s="97"/>
      <c r="I21" s="97"/>
      <c r="J21" s="80">
        <f t="shared" si="1"/>
        <v>0</v>
      </c>
      <c r="M21" s="80">
        <f t="shared" si="2"/>
        <v>8909439.9999999981</v>
      </c>
      <c r="N21" s="80">
        <f t="shared" si="3"/>
        <v>8541716.192695355</v>
      </c>
      <c r="P21" s="80">
        <v>8541716.192695355</v>
      </c>
    </row>
    <row r="22" spans="1:17" s="4" customFormat="1" x14ac:dyDescent="0.25">
      <c r="A22" s="89" t="s">
        <v>175</v>
      </c>
      <c r="B22" s="90">
        <v>28216468.829999998</v>
      </c>
      <c r="C22" s="91">
        <v>29498606.559999999</v>
      </c>
      <c r="D22" s="91">
        <v>11003.73</v>
      </c>
      <c r="E22" s="91">
        <f t="shared" si="0"/>
        <v>29487602.829999998</v>
      </c>
      <c r="F22" s="92">
        <v>15362081.710000001</v>
      </c>
      <c r="G22" s="93">
        <v>352717.12</v>
      </c>
      <c r="H22" s="98"/>
      <c r="I22" s="98"/>
      <c r="J22" s="3">
        <f t="shared" si="1"/>
        <v>1271134</v>
      </c>
      <c r="K22" s="4" t="s">
        <v>250</v>
      </c>
      <c r="L22" s="3"/>
      <c r="M22" s="80">
        <f t="shared" si="2"/>
        <v>13772803.999999998</v>
      </c>
      <c r="N22" s="80">
        <f t="shared" si="3"/>
        <v>13204352.119282395</v>
      </c>
      <c r="O22" s="3"/>
      <c r="P22" s="3">
        <v>13204352.119282395</v>
      </c>
      <c r="Q22" s="3"/>
    </row>
    <row r="23" spans="1:17" x14ac:dyDescent="0.25">
      <c r="A23" s="67" t="s">
        <v>11</v>
      </c>
      <c r="B23" s="77">
        <v>13737870.470000001</v>
      </c>
      <c r="C23" s="72">
        <v>14017535.49</v>
      </c>
      <c r="D23" s="72">
        <v>295855.98</v>
      </c>
      <c r="E23" s="72">
        <f t="shared" si="0"/>
        <v>13721679.51</v>
      </c>
      <c r="F23" s="73">
        <v>8456250.0700000003</v>
      </c>
      <c r="G23" s="74">
        <v>125970.4</v>
      </c>
      <c r="H23" s="97"/>
      <c r="I23" s="97"/>
      <c r="J23" s="84">
        <f>E23-B23</f>
        <v>-16190.960000000894</v>
      </c>
      <c r="M23" s="80">
        <f t="shared" si="2"/>
        <v>5139459.0399999991</v>
      </c>
      <c r="N23" s="80">
        <f t="shared" si="3"/>
        <v>4927335.5568545861</v>
      </c>
      <c r="P23" s="80">
        <v>4927335.5568545861</v>
      </c>
    </row>
    <row r="24" spans="1:17" x14ac:dyDescent="0.25">
      <c r="A24" s="67" t="s">
        <v>219</v>
      </c>
      <c r="B24" s="77">
        <v>8598279.7599999998</v>
      </c>
      <c r="C24" s="72">
        <v>8794823.2300000004</v>
      </c>
      <c r="D24" s="72">
        <v>180352.51</v>
      </c>
      <c r="E24" s="72">
        <f t="shared" si="0"/>
        <v>8614470.7200000007</v>
      </c>
      <c r="F24" s="73">
        <v>4797214.37</v>
      </c>
      <c r="G24" s="74">
        <v>83455.39</v>
      </c>
      <c r="H24" s="97"/>
      <c r="I24" s="97"/>
      <c r="J24" s="84">
        <f t="shared" si="1"/>
        <v>16190.960000000894</v>
      </c>
      <c r="M24" s="80">
        <f t="shared" si="2"/>
        <v>3733800.9600000004</v>
      </c>
      <c r="N24" s="80">
        <f t="shared" si="3"/>
        <v>3579693.9112147866</v>
      </c>
      <c r="P24" s="80">
        <v>3579693.9112147866</v>
      </c>
    </row>
    <row r="25" spans="1:17" x14ac:dyDescent="0.25">
      <c r="A25" s="67" t="s">
        <v>86</v>
      </c>
      <c r="B25" s="77">
        <v>14353420.09</v>
      </c>
      <c r="C25" s="72">
        <v>15242842.609999999</v>
      </c>
      <c r="D25" s="72">
        <v>19215.89</v>
      </c>
      <c r="E25" s="72">
        <f t="shared" si="0"/>
        <v>15223626.719999999</v>
      </c>
      <c r="F25" s="73">
        <v>9867054.6799999997</v>
      </c>
      <c r="G25" s="74">
        <v>168485.41</v>
      </c>
      <c r="H25" s="97"/>
      <c r="I25" s="97"/>
      <c r="J25" s="88">
        <f t="shared" si="1"/>
        <v>870206.62999999896</v>
      </c>
      <c r="K25" t="s">
        <v>250</v>
      </c>
      <c r="L25" s="88"/>
      <c r="M25" s="80">
        <f t="shared" si="2"/>
        <v>5188086.629999999</v>
      </c>
      <c r="N25" s="80">
        <f t="shared" si="3"/>
        <v>4973956.1158251557</v>
      </c>
      <c r="P25" s="80">
        <v>4973956.1158251557</v>
      </c>
    </row>
    <row r="26" spans="1:17" x14ac:dyDescent="0.25">
      <c r="A26" s="67" t="s">
        <v>176</v>
      </c>
      <c r="B26" s="77">
        <v>8633372.1999999993</v>
      </c>
      <c r="C26" s="72">
        <v>6002721.0099999998</v>
      </c>
      <c r="E26" s="72">
        <f t="shared" si="0"/>
        <v>6002721.0099999998</v>
      </c>
      <c r="F26" s="73">
        <v>1291966.8999999999</v>
      </c>
      <c r="G26" s="74">
        <v>496005.3</v>
      </c>
      <c r="H26" s="97"/>
      <c r="I26" s="97"/>
      <c r="J26" s="88">
        <f t="shared" si="1"/>
        <v>-2630651.1899999995</v>
      </c>
      <c r="M26" s="80">
        <f t="shared" si="2"/>
        <v>4214748.8099999996</v>
      </c>
      <c r="N26" s="80">
        <f t="shared" si="3"/>
        <v>4040791.3582133646</v>
      </c>
      <c r="P26" s="80">
        <v>4040791.3582133646</v>
      </c>
    </row>
    <row r="27" spans="1:17" ht="24" x14ac:dyDescent="0.25">
      <c r="A27" s="67" t="s">
        <v>12</v>
      </c>
      <c r="B27" s="77">
        <v>31423622.629999999</v>
      </c>
      <c r="C27" s="72">
        <v>31429952.359999999</v>
      </c>
      <c r="D27" s="72">
        <v>6329.73</v>
      </c>
      <c r="E27" s="72">
        <f t="shared" si="0"/>
        <v>31423622.629999999</v>
      </c>
      <c r="F27" s="73">
        <v>23099920.899999999</v>
      </c>
      <c r="G27" s="74">
        <v>269261.73</v>
      </c>
      <c r="H27" s="97"/>
      <c r="I27" s="97"/>
      <c r="J27" s="80">
        <f t="shared" si="1"/>
        <v>0</v>
      </c>
      <c r="L27" s="88"/>
      <c r="M27" s="80">
        <f t="shared" si="2"/>
        <v>8054440</v>
      </c>
      <c r="N27" s="80">
        <f t="shared" si="3"/>
        <v>7722005.0385987433</v>
      </c>
      <c r="P27" s="80">
        <v>7722005.0385987433</v>
      </c>
    </row>
    <row r="28" spans="1:17" ht="24" x14ac:dyDescent="0.25">
      <c r="A28" s="67" t="s">
        <v>220</v>
      </c>
      <c r="B28" s="77">
        <v>28934029.870000001</v>
      </c>
      <c r="C28" s="72">
        <v>28940062.920000002</v>
      </c>
      <c r="D28" s="72">
        <v>6033.05</v>
      </c>
      <c r="E28" s="72">
        <f t="shared" si="0"/>
        <v>28934029.870000001</v>
      </c>
      <c r="F28" s="73">
        <v>22028983.07</v>
      </c>
      <c r="G28" s="74">
        <v>220446.8</v>
      </c>
      <c r="H28" s="97"/>
      <c r="I28" s="97"/>
      <c r="J28" s="80">
        <f t="shared" si="1"/>
        <v>0</v>
      </c>
      <c r="M28" s="80">
        <f t="shared" si="2"/>
        <v>6684600.0000000009</v>
      </c>
      <c r="N28" s="80">
        <f t="shared" si="3"/>
        <v>6408703.135291487</v>
      </c>
      <c r="P28" s="80">
        <v>6408703.135291487</v>
      </c>
    </row>
    <row r="29" spans="1:17" ht="24" x14ac:dyDescent="0.25">
      <c r="A29" s="67" t="s">
        <v>88</v>
      </c>
      <c r="B29" s="77">
        <v>20393345.219999999</v>
      </c>
      <c r="C29" s="72">
        <v>20409329.620000001</v>
      </c>
      <c r="D29" s="72">
        <v>15984.4</v>
      </c>
      <c r="E29" s="72">
        <f t="shared" si="0"/>
        <v>20393345.220000003</v>
      </c>
      <c r="F29" s="73">
        <v>14793170.720000001</v>
      </c>
      <c r="G29" s="74">
        <v>236194.5</v>
      </c>
      <c r="H29" s="97"/>
      <c r="I29" s="97"/>
      <c r="J29" s="80">
        <f t="shared" si="1"/>
        <v>0</v>
      </c>
      <c r="M29" s="80">
        <f t="shared" si="2"/>
        <v>5363980.0000000019</v>
      </c>
      <c r="N29" s="80">
        <f t="shared" si="3"/>
        <v>5142589.7501183068</v>
      </c>
      <c r="P29" s="80">
        <v>5142589.7501183068</v>
      </c>
    </row>
    <row r="30" spans="1:17" ht="24" x14ac:dyDescent="0.25">
      <c r="A30" s="67" t="s">
        <v>89</v>
      </c>
      <c r="B30" s="77">
        <v>32376103.550000001</v>
      </c>
      <c r="C30" s="72">
        <v>32428294.600000001</v>
      </c>
      <c r="D30" s="72">
        <v>52191.05</v>
      </c>
      <c r="E30" s="72">
        <f t="shared" si="0"/>
        <v>32376103.550000001</v>
      </c>
      <c r="F30" s="73">
        <v>25167750.949999999</v>
      </c>
      <c r="G30" s="74">
        <v>362162.6</v>
      </c>
      <c r="H30" s="97"/>
      <c r="I30" s="97"/>
      <c r="J30" s="80">
        <f t="shared" si="1"/>
        <v>0</v>
      </c>
      <c r="M30" s="80">
        <f t="shared" si="2"/>
        <v>6846190.0000000019</v>
      </c>
      <c r="N30" s="80">
        <f t="shared" si="3"/>
        <v>6563623.7497832673</v>
      </c>
      <c r="P30" s="80">
        <v>6563623.7497832673</v>
      </c>
    </row>
    <row r="31" spans="1:17" x14ac:dyDescent="0.25">
      <c r="A31" s="67" t="s">
        <v>90</v>
      </c>
      <c r="B31" s="77">
        <v>14326256.029999999</v>
      </c>
      <c r="C31" s="72">
        <v>14488249.32</v>
      </c>
      <c r="D31" s="72">
        <v>135394.18</v>
      </c>
      <c r="E31" s="72">
        <f t="shared" si="0"/>
        <v>14352855.140000001</v>
      </c>
      <c r="F31" s="73">
        <v>9279345.6300000008</v>
      </c>
      <c r="G31" s="74">
        <v>125970.4</v>
      </c>
      <c r="H31" s="97"/>
      <c r="I31" s="97"/>
      <c r="J31" s="83">
        <f t="shared" si="1"/>
        <v>26599.110000001267</v>
      </c>
      <c r="M31" s="80">
        <f t="shared" si="2"/>
        <v>4947539.1099999994</v>
      </c>
      <c r="N31" s="80">
        <f t="shared" si="3"/>
        <v>4743336.8348493911</v>
      </c>
      <c r="P31" s="80">
        <v>4743336.8348493911</v>
      </c>
    </row>
    <row r="32" spans="1:17" x14ac:dyDescent="0.25">
      <c r="A32" s="67" t="s">
        <v>91</v>
      </c>
      <c r="B32" s="77">
        <v>23389696.420000002</v>
      </c>
      <c r="C32" s="72">
        <v>23412722.329999998</v>
      </c>
      <c r="D32" s="72">
        <v>23025.91</v>
      </c>
      <c r="E32" s="72">
        <f t="shared" si="0"/>
        <v>23389696.419999998</v>
      </c>
      <c r="F32" s="73">
        <v>17095207.289999999</v>
      </c>
      <c r="G32" s="74">
        <v>237769.13</v>
      </c>
      <c r="H32" s="97"/>
      <c r="I32" s="97"/>
      <c r="J32" s="80">
        <f t="shared" si="1"/>
        <v>0</v>
      </c>
      <c r="M32" s="80">
        <f t="shared" si="2"/>
        <v>6056719.9999999991</v>
      </c>
      <c r="N32" s="80">
        <f t="shared" si="3"/>
        <v>5806737.9429708049</v>
      </c>
      <c r="P32" s="80">
        <v>5806737.9429708049</v>
      </c>
    </row>
    <row r="33" spans="1:16" ht="24" x14ac:dyDescent="0.25">
      <c r="A33" s="67" t="s">
        <v>92</v>
      </c>
      <c r="B33" s="77">
        <v>18286891.300000001</v>
      </c>
      <c r="C33" s="72">
        <v>18372921.199999999</v>
      </c>
      <c r="D33" s="72">
        <v>86029.9</v>
      </c>
      <c r="E33" s="72">
        <f t="shared" si="0"/>
        <v>18286891.300000001</v>
      </c>
      <c r="F33" s="73">
        <v>14238530.52</v>
      </c>
      <c r="G33" s="74">
        <v>166910.78</v>
      </c>
      <c r="H33" s="97"/>
      <c r="I33" s="97"/>
      <c r="J33" s="80">
        <f t="shared" si="1"/>
        <v>0</v>
      </c>
      <c r="M33" s="80">
        <f t="shared" si="2"/>
        <v>3881450.0000000014</v>
      </c>
      <c r="N33" s="80">
        <f t="shared" si="3"/>
        <v>3721248.9579746206</v>
      </c>
      <c r="P33" s="80">
        <v>3721248.9579746206</v>
      </c>
    </row>
    <row r="34" spans="1:16" ht="24" x14ac:dyDescent="0.25">
      <c r="A34" s="67" t="s">
        <v>221</v>
      </c>
      <c r="B34" s="77">
        <v>43525561.840000004</v>
      </c>
      <c r="C34" s="72">
        <v>44152983.32</v>
      </c>
      <c r="D34" s="72">
        <v>627421.48</v>
      </c>
      <c r="E34" s="72">
        <f t="shared" si="0"/>
        <v>43525561.840000004</v>
      </c>
      <c r="F34" s="73">
        <v>33973996.780000001</v>
      </c>
      <c r="G34" s="74">
        <v>414125.06</v>
      </c>
      <c r="H34" s="97"/>
      <c r="I34" s="97"/>
      <c r="J34" s="80">
        <f t="shared" si="1"/>
        <v>0</v>
      </c>
      <c r="M34" s="80">
        <f t="shared" si="2"/>
        <v>9137440.0000000019</v>
      </c>
      <c r="N34" s="80">
        <f t="shared" si="3"/>
        <v>8760305.8337877877</v>
      </c>
      <c r="P34" s="80">
        <v>8760305.8337877877</v>
      </c>
    </row>
    <row r="35" spans="1:16" ht="24" x14ac:dyDescent="0.25">
      <c r="A35" s="67" t="s">
        <v>94</v>
      </c>
      <c r="B35" s="77">
        <v>20754097.09</v>
      </c>
      <c r="C35" s="72">
        <v>21328495.82</v>
      </c>
      <c r="D35" s="72">
        <v>384896.46</v>
      </c>
      <c r="E35" s="72">
        <f t="shared" si="0"/>
        <v>20943599.359999999</v>
      </c>
      <c r="F35" s="73">
        <v>16491420.75</v>
      </c>
      <c r="G35" s="74">
        <v>185806.34</v>
      </c>
      <c r="H35" s="97"/>
      <c r="I35" s="97"/>
      <c r="J35" s="88">
        <f t="shared" si="1"/>
        <v>189502.26999999955</v>
      </c>
      <c r="K35" t="s">
        <v>250</v>
      </c>
      <c r="M35" s="80">
        <f t="shared" si="2"/>
        <v>4266372.2699999996</v>
      </c>
      <c r="N35" s="80">
        <f t="shared" si="3"/>
        <v>4090284.1371315639</v>
      </c>
      <c r="P35" s="80">
        <v>4090284.1371315639</v>
      </c>
    </row>
    <row r="36" spans="1:16" ht="24" x14ac:dyDescent="0.25">
      <c r="A36" s="67" t="s">
        <v>222</v>
      </c>
      <c r="B36" s="77">
        <v>15037623.720000001</v>
      </c>
      <c r="C36" s="72">
        <v>15131820.98</v>
      </c>
      <c r="D36" s="72">
        <v>120560.76</v>
      </c>
      <c r="E36" s="72">
        <f t="shared" si="0"/>
        <v>15011260.220000001</v>
      </c>
      <c r="F36" s="73">
        <v>11072573.32</v>
      </c>
      <c r="G36" s="74">
        <v>125970.4</v>
      </c>
      <c r="H36" s="97"/>
      <c r="I36" s="97"/>
      <c r="J36" s="85">
        <f t="shared" si="1"/>
        <v>-26363.5</v>
      </c>
      <c r="M36" s="80">
        <f t="shared" si="2"/>
        <v>3812716.5000000005</v>
      </c>
      <c r="N36" s="80">
        <f t="shared" si="3"/>
        <v>3655352.330360468</v>
      </c>
      <c r="P36" s="80">
        <v>3655352.330360468</v>
      </c>
    </row>
    <row r="37" spans="1:16" ht="24" x14ac:dyDescent="0.25">
      <c r="A37" s="67" t="s">
        <v>13</v>
      </c>
      <c r="B37" s="77">
        <v>16558976.34</v>
      </c>
      <c r="C37" s="72">
        <v>16591453.99</v>
      </c>
      <c r="D37" s="72">
        <v>32477.65</v>
      </c>
      <c r="E37" s="72">
        <f t="shared" si="0"/>
        <v>16558976.34</v>
      </c>
      <c r="F37" s="73">
        <v>11935986.68</v>
      </c>
      <c r="G37" s="74">
        <v>129119.66</v>
      </c>
      <c r="H37" s="97"/>
      <c r="I37" s="97"/>
      <c r="J37" s="80">
        <f t="shared" si="1"/>
        <v>0</v>
      </c>
      <c r="M37" s="80">
        <f t="shared" si="2"/>
        <v>4493870</v>
      </c>
      <c r="N37" s="80">
        <f t="shared" si="3"/>
        <v>4308392.238666838</v>
      </c>
      <c r="P37" s="80">
        <v>4308392.238666838</v>
      </c>
    </row>
    <row r="38" spans="1:16" ht="24" x14ac:dyDescent="0.25">
      <c r="A38" s="67" t="s">
        <v>96</v>
      </c>
      <c r="B38" s="77">
        <v>45624086.409999996</v>
      </c>
      <c r="C38" s="72">
        <v>46009128.509999998</v>
      </c>
      <c r="D38" s="72">
        <v>411641.21</v>
      </c>
      <c r="E38" s="72">
        <f t="shared" si="0"/>
        <v>45597487.299999997</v>
      </c>
      <c r="F38" s="73">
        <v>30032923.920000002</v>
      </c>
      <c r="G38" s="74">
        <v>351142.49</v>
      </c>
      <c r="H38" s="97"/>
      <c r="I38" s="97"/>
      <c r="J38" s="83">
        <f t="shared" si="1"/>
        <v>-26599.109999999404</v>
      </c>
      <c r="M38" s="80">
        <f t="shared" si="2"/>
        <v>15213420.889999995</v>
      </c>
      <c r="N38" s="80">
        <f t="shared" si="3"/>
        <v>14585509.702338502</v>
      </c>
      <c r="P38" s="80">
        <v>14585509.702338502</v>
      </c>
    </row>
    <row r="39" spans="1:16" ht="24" x14ac:dyDescent="0.25">
      <c r="A39" s="67" t="s">
        <v>97</v>
      </c>
      <c r="B39" s="77">
        <v>11961498.33</v>
      </c>
      <c r="C39" s="72">
        <v>11978505.369999999</v>
      </c>
      <c r="D39" s="72">
        <v>17007.04</v>
      </c>
      <c r="E39" s="72">
        <f t="shared" si="0"/>
        <v>11961498.33</v>
      </c>
      <c r="F39" s="73">
        <v>7921155.71</v>
      </c>
      <c r="G39" s="74">
        <v>116522.62</v>
      </c>
      <c r="H39" s="97"/>
      <c r="I39" s="97"/>
      <c r="J39" s="80">
        <f t="shared" si="1"/>
        <v>0</v>
      </c>
      <c r="M39" s="80">
        <f t="shared" si="2"/>
        <v>3923820</v>
      </c>
      <c r="N39" s="80">
        <f t="shared" si="3"/>
        <v>3761870.1996109621</v>
      </c>
      <c r="P39" s="80">
        <v>3761870.1996109621</v>
      </c>
    </row>
    <row r="40" spans="1:16" ht="24" x14ac:dyDescent="0.25">
      <c r="A40" s="67" t="s">
        <v>98</v>
      </c>
      <c r="B40" s="77">
        <v>12133503.16</v>
      </c>
      <c r="C40" s="72">
        <v>12411499.189999999</v>
      </c>
      <c r="D40" s="72">
        <v>144650.84</v>
      </c>
      <c r="E40" s="72">
        <f t="shared" si="0"/>
        <v>12266848.35</v>
      </c>
      <c r="F40" s="73">
        <v>8396531.4700000007</v>
      </c>
      <c r="G40" s="74">
        <v>99201.69</v>
      </c>
      <c r="H40" s="97"/>
      <c r="I40" s="97"/>
      <c r="J40" s="88">
        <f t="shared" si="1"/>
        <v>133345.18999999948</v>
      </c>
      <c r="K40" t="s">
        <v>250</v>
      </c>
      <c r="M40" s="80">
        <f t="shared" si="2"/>
        <v>3771115.189999999</v>
      </c>
      <c r="N40" s="80">
        <f t="shared" si="3"/>
        <v>3615468.0521943485</v>
      </c>
      <c r="P40" s="80">
        <v>3615468.0521943485</v>
      </c>
    </row>
    <row r="41" spans="1:16" ht="24" x14ac:dyDescent="0.25">
      <c r="A41" s="67" t="s">
        <v>99</v>
      </c>
      <c r="B41" s="77">
        <v>20146098.989999998</v>
      </c>
      <c r="C41" s="72">
        <v>20152535.469999999</v>
      </c>
      <c r="D41" s="72">
        <v>6436.48</v>
      </c>
      <c r="E41" s="72">
        <f t="shared" si="0"/>
        <v>20146098.989999998</v>
      </c>
      <c r="F41" s="73">
        <v>13773594.300000001</v>
      </c>
      <c r="G41" s="74">
        <v>256664.69</v>
      </c>
      <c r="H41" s="97"/>
      <c r="I41" s="97"/>
      <c r="J41" s="80">
        <f t="shared" si="1"/>
        <v>0</v>
      </c>
      <c r="M41" s="80">
        <f t="shared" si="2"/>
        <v>6115839.9999999972</v>
      </c>
      <c r="N41" s="80">
        <f t="shared" si="3"/>
        <v>5863417.8534154715</v>
      </c>
      <c r="P41" s="80">
        <v>5863417.8534154715</v>
      </c>
    </row>
    <row r="42" spans="1:16" ht="24" x14ac:dyDescent="0.25">
      <c r="A42" s="67" t="s">
        <v>100</v>
      </c>
      <c r="B42" s="77">
        <v>22368780.420000002</v>
      </c>
      <c r="C42" s="72">
        <v>22985469.969999999</v>
      </c>
      <c r="D42" s="72">
        <v>590326.05000000005</v>
      </c>
      <c r="E42" s="72">
        <f t="shared" si="0"/>
        <v>22395143.919999998</v>
      </c>
      <c r="F42" s="73">
        <v>16342466.66</v>
      </c>
      <c r="G42" s="74">
        <v>239343.76</v>
      </c>
      <c r="H42" s="97"/>
      <c r="I42" s="97"/>
      <c r="J42" s="85">
        <f t="shared" si="1"/>
        <v>26363.499999996275</v>
      </c>
      <c r="M42" s="80">
        <f t="shared" si="2"/>
        <v>5813333.4999999981</v>
      </c>
      <c r="N42" s="80">
        <f t="shared" si="3"/>
        <v>5573396.8566473713</v>
      </c>
      <c r="P42" s="80">
        <v>5573396.8566473713</v>
      </c>
    </row>
    <row r="43" spans="1:16" ht="24" x14ac:dyDescent="0.25">
      <c r="A43" s="67" t="s">
        <v>223</v>
      </c>
      <c r="B43" s="77">
        <v>48430864.210000001</v>
      </c>
      <c r="C43" s="72">
        <v>48470898.57</v>
      </c>
      <c r="D43" s="72">
        <v>40034.36</v>
      </c>
      <c r="E43" s="72">
        <f t="shared" si="0"/>
        <v>48430864.210000001</v>
      </c>
      <c r="F43" s="73">
        <v>35631544.240000002</v>
      </c>
      <c r="G43" s="74">
        <v>659769.97</v>
      </c>
      <c r="H43" s="97"/>
      <c r="I43" s="97"/>
      <c r="J43" s="80">
        <f t="shared" si="1"/>
        <v>0</v>
      </c>
      <c r="M43" s="80">
        <f t="shared" si="2"/>
        <v>12139549.999999998</v>
      </c>
      <c r="N43" s="80">
        <f t="shared" si="3"/>
        <v>11638508.234752677</v>
      </c>
      <c r="P43" s="80">
        <v>11638508.234752677</v>
      </c>
    </row>
    <row r="44" spans="1:16" ht="24" x14ac:dyDescent="0.25">
      <c r="A44" s="67" t="s">
        <v>224</v>
      </c>
      <c r="B44" s="77">
        <v>32850003.559999999</v>
      </c>
      <c r="C44" s="72">
        <v>33332354.620000001</v>
      </c>
      <c r="D44" s="72">
        <v>482351.06</v>
      </c>
      <c r="E44" s="72">
        <f t="shared" si="0"/>
        <v>32850003.560000002</v>
      </c>
      <c r="F44" s="73">
        <v>24462236.34</v>
      </c>
      <c r="G44" s="74">
        <v>363737.22</v>
      </c>
      <c r="H44" s="97"/>
      <c r="I44" s="97"/>
      <c r="J44" s="80">
        <f t="shared" si="1"/>
        <v>0</v>
      </c>
      <c r="M44" s="80">
        <f t="shared" si="2"/>
        <v>8024030.0000000028</v>
      </c>
      <c r="N44" s="80">
        <f t="shared" si="3"/>
        <v>7692850.1658547949</v>
      </c>
      <c r="P44" s="80">
        <v>7692850.1658547949</v>
      </c>
    </row>
    <row r="45" spans="1:16" ht="24" x14ac:dyDescent="0.25">
      <c r="A45" s="67" t="s">
        <v>103</v>
      </c>
      <c r="B45" s="77">
        <v>44790602.399999999</v>
      </c>
      <c r="C45" s="72">
        <v>45067845.100000001</v>
      </c>
      <c r="D45" s="72">
        <v>277242.7</v>
      </c>
      <c r="E45" s="72">
        <f t="shared" si="0"/>
        <v>44790602.399999999</v>
      </c>
      <c r="F45" s="73">
        <v>33260417.739999998</v>
      </c>
      <c r="G45" s="74">
        <v>540094.66</v>
      </c>
      <c r="H45" s="97"/>
      <c r="I45" s="97"/>
      <c r="J45" s="80">
        <f t="shared" si="1"/>
        <v>0</v>
      </c>
      <c r="M45" s="80">
        <f t="shared" si="2"/>
        <v>10990090</v>
      </c>
      <c r="N45" s="80">
        <f t="shared" si="3"/>
        <v>10536490.476638183</v>
      </c>
      <c r="P45" s="80">
        <v>10536490.476638183</v>
      </c>
    </row>
    <row r="46" spans="1:16" ht="24" x14ac:dyDescent="0.25">
      <c r="A46" s="67" t="s">
        <v>104</v>
      </c>
      <c r="B46" s="77">
        <v>48698992.859999999</v>
      </c>
      <c r="C46" s="72">
        <v>49049683.869999997</v>
      </c>
      <c r="D46" s="72">
        <v>136712.35999999999</v>
      </c>
      <c r="E46" s="72">
        <f t="shared" si="0"/>
        <v>48912971.509999998</v>
      </c>
      <c r="F46" s="73">
        <v>36363072.700000003</v>
      </c>
      <c r="G46" s="74">
        <v>579460.16</v>
      </c>
      <c r="H46" s="97"/>
      <c r="I46" s="97"/>
      <c r="J46" s="87">
        <f t="shared" si="1"/>
        <v>213978.64999999851</v>
      </c>
      <c r="M46" s="80">
        <f t="shared" si="2"/>
        <v>11970438.649999995</v>
      </c>
      <c r="N46" s="80">
        <f t="shared" si="3"/>
        <v>11476376.702730058</v>
      </c>
      <c r="P46" s="80">
        <v>11476376.702730058</v>
      </c>
    </row>
    <row r="47" spans="1:16" ht="24" x14ac:dyDescent="0.25">
      <c r="A47" s="67" t="s">
        <v>105</v>
      </c>
      <c r="B47" s="77">
        <v>48232892.490000002</v>
      </c>
      <c r="C47" s="72">
        <v>48242387.100000001</v>
      </c>
      <c r="D47" s="72">
        <v>9494.61</v>
      </c>
      <c r="E47" s="72">
        <f t="shared" si="0"/>
        <v>48232892.490000002</v>
      </c>
      <c r="F47" s="73">
        <v>36663027.909999996</v>
      </c>
      <c r="G47" s="74">
        <v>576314.57999999996</v>
      </c>
      <c r="H47" s="97"/>
      <c r="I47" s="97"/>
      <c r="J47" s="80">
        <f t="shared" si="1"/>
        <v>0</v>
      </c>
      <c r="M47" s="80">
        <f t="shared" si="2"/>
        <v>10993550.000000006</v>
      </c>
      <c r="N47" s="80">
        <f t="shared" si="3"/>
        <v>10539807.670314416</v>
      </c>
      <c r="P47" s="80">
        <v>10539807.670314416</v>
      </c>
    </row>
    <row r="48" spans="1:16" ht="24" x14ac:dyDescent="0.25">
      <c r="A48" s="67" t="s">
        <v>177</v>
      </c>
      <c r="B48" s="77">
        <v>25585348.600000001</v>
      </c>
      <c r="C48" s="72">
        <v>26682035.670000002</v>
      </c>
      <c r="D48" s="72">
        <v>1096687.07</v>
      </c>
      <c r="E48" s="72">
        <f t="shared" si="0"/>
        <v>25585348.600000001</v>
      </c>
      <c r="F48" s="73">
        <v>20066053.530000001</v>
      </c>
      <c r="G48" s="74">
        <v>297605.07</v>
      </c>
      <c r="H48" s="97"/>
      <c r="I48" s="97"/>
      <c r="J48" s="80">
        <f t="shared" si="1"/>
        <v>0</v>
      </c>
      <c r="M48" s="80">
        <f t="shared" si="2"/>
        <v>5221690</v>
      </c>
      <c r="N48" s="80">
        <f t="shared" si="3"/>
        <v>5006172.5569997001</v>
      </c>
      <c r="P48" s="80">
        <v>5006172.5569997001</v>
      </c>
    </row>
    <row r="49" spans="1:16" x14ac:dyDescent="0.25">
      <c r="A49" s="67" t="s">
        <v>225</v>
      </c>
      <c r="B49" s="77">
        <v>12226816.01</v>
      </c>
      <c r="C49" s="72">
        <v>12373573.789999999</v>
      </c>
      <c r="D49" s="72">
        <v>105757.78</v>
      </c>
      <c r="E49" s="72">
        <f t="shared" si="0"/>
        <v>12267816.01</v>
      </c>
      <c r="F49" s="73">
        <v>8280766.3499999996</v>
      </c>
      <c r="G49" s="74">
        <v>129119.66</v>
      </c>
      <c r="H49" s="97"/>
      <c r="I49" s="97"/>
      <c r="J49" s="87">
        <f t="shared" si="1"/>
        <v>41000</v>
      </c>
      <c r="M49" s="80">
        <f t="shared" si="2"/>
        <v>3857930</v>
      </c>
      <c r="N49" s="80">
        <f t="shared" si="3"/>
        <v>3698699.7107882416</v>
      </c>
      <c r="P49" s="80">
        <v>3698699.7107882416</v>
      </c>
    </row>
    <row r="50" spans="1:16" ht="24" x14ac:dyDescent="0.25">
      <c r="A50" s="67" t="s">
        <v>108</v>
      </c>
      <c r="B50" s="77">
        <v>38849473.600000001</v>
      </c>
      <c r="C50" s="72">
        <v>38864611.100000001</v>
      </c>
      <c r="D50" s="72">
        <v>15137.5</v>
      </c>
      <c r="E50" s="72">
        <f t="shared" si="0"/>
        <v>38849473.600000001</v>
      </c>
      <c r="F50" s="73">
        <v>27329694.98</v>
      </c>
      <c r="G50" s="74">
        <v>316498.62</v>
      </c>
      <c r="H50" s="97"/>
      <c r="I50" s="97"/>
      <c r="J50" s="80">
        <f t="shared" si="1"/>
        <v>0</v>
      </c>
      <c r="M50" s="80">
        <f t="shared" si="2"/>
        <v>11203280.000000002</v>
      </c>
      <c r="N50" s="80">
        <f t="shared" si="3"/>
        <v>10740881.378324568</v>
      </c>
      <c r="P50" s="80">
        <v>10740881.378324568</v>
      </c>
    </row>
    <row r="51" spans="1:16" ht="24" x14ac:dyDescent="0.25">
      <c r="A51" s="67" t="s">
        <v>226</v>
      </c>
      <c r="B51" s="77">
        <v>41088398.189999998</v>
      </c>
      <c r="C51" s="72">
        <v>41160392.490000002</v>
      </c>
      <c r="D51" s="72">
        <v>71994.3</v>
      </c>
      <c r="E51" s="72">
        <f t="shared" si="0"/>
        <v>41088398.190000005</v>
      </c>
      <c r="F51" s="73">
        <v>31853181.77</v>
      </c>
      <c r="G51" s="74">
        <v>525926.42000000004</v>
      </c>
      <c r="H51" s="97"/>
      <c r="I51" s="97"/>
      <c r="J51" s="80">
        <f t="shared" si="1"/>
        <v>0</v>
      </c>
      <c r="M51" s="80">
        <f t="shared" si="2"/>
        <v>8709290.0000000056</v>
      </c>
      <c r="N51" s="80">
        <f t="shared" si="3"/>
        <v>8349827.084517072</v>
      </c>
      <c r="P51" s="80">
        <v>8349827.084517072</v>
      </c>
    </row>
    <row r="52" spans="1:16" ht="24" x14ac:dyDescent="0.25">
      <c r="A52" s="67" t="s">
        <v>227</v>
      </c>
      <c r="B52" s="77">
        <v>20487942.809999999</v>
      </c>
      <c r="C52" s="72">
        <v>20514339.829999998</v>
      </c>
      <c r="D52" s="72">
        <v>26397.02</v>
      </c>
      <c r="E52" s="72">
        <f t="shared" si="0"/>
        <v>20487942.809999999</v>
      </c>
      <c r="F52" s="73">
        <v>11838840.27</v>
      </c>
      <c r="G52" s="74">
        <v>341692.54</v>
      </c>
      <c r="H52" s="97"/>
      <c r="I52" s="97"/>
      <c r="J52" s="80">
        <f t="shared" si="1"/>
        <v>0</v>
      </c>
      <c r="M52" s="80">
        <f t="shared" si="2"/>
        <v>8307409.9999999991</v>
      </c>
      <c r="N52" s="80">
        <f t="shared" si="3"/>
        <v>7964534.0802967772</v>
      </c>
      <c r="P52" s="80">
        <v>7964534.0802967772</v>
      </c>
    </row>
    <row r="53" spans="1:16" x14ac:dyDescent="0.25">
      <c r="A53" s="67" t="s">
        <v>111</v>
      </c>
      <c r="B53" s="77">
        <v>15420929.49</v>
      </c>
      <c r="C53" s="72">
        <v>15455628.630000001</v>
      </c>
      <c r="D53" s="72">
        <v>34699.14</v>
      </c>
      <c r="E53" s="72">
        <f>C53-D53</f>
        <v>15420929.49</v>
      </c>
      <c r="F53" s="73">
        <v>10318632.789999999</v>
      </c>
      <c r="G53" s="74">
        <v>141716.70000000001</v>
      </c>
      <c r="H53" s="97"/>
      <c r="I53" s="97"/>
      <c r="J53" s="80">
        <f t="shared" si="1"/>
        <v>0</v>
      </c>
      <c r="M53" s="80">
        <f t="shared" si="2"/>
        <v>4960580.0000000009</v>
      </c>
      <c r="N53" s="80">
        <f t="shared" si="3"/>
        <v>4755839.4816240687</v>
      </c>
      <c r="P53" s="80">
        <v>4755839.4816240687</v>
      </c>
    </row>
    <row r="54" spans="1:16" ht="24" x14ac:dyDescent="0.25">
      <c r="A54" s="67" t="s">
        <v>112</v>
      </c>
      <c r="B54" s="77">
        <v>16477007.439999999</v>
      </c>
      <c r="C54" s="72">
        <v>16480905.939999999</v>
      </c>
      <c r="D54" s="72">
        <v>3898.5</v>
      </c>
      <c r="E54" s="72">
        <f t="shared" si="0"/>
        <v>16477007.439999999</v>
      </c>
      <c r="F54" s="73">
        <v>11153032.77</v>
      </c>
      <c r="G54" s="74">
        <v>171634.67</v>
      </c>
      <c r="H54" s="97"/>
      <c r="I54" s="97"/>
      <c r="J54" s="80">
        <f t="shared" si="1"/>
        <v>0</v>
      </c>
      <c r="M54" s="80">
        <f t="shared" si="2"/>
        <v>5152340</v>
      </c>
      <c r="N54" s="80">
        <f t="shared" si="3"/>
        <v>4939684.8745007534</v>
      </c>
      <c r="P54" s="80">
        <v>4939684.8745007534</v>
      </c>
    </row>
    <row r="55" spans="1:16" ht="24" x14ac:dyDescent="0.25">
      <c r="A55" s="67" t="s">
        <v>228</v>
      </c>
      <c r="B55" s="77">
        <v>25599689.73</v>
      </c>
      <c r="C55" s="72">
        <v>25765339.57</v>
      </c>
      <c r="D55" s="72">
        <v>165649.84</v>
      </c>
      <c r="E55" s="72">
        <f t="shared" si="0"/>
        <v>25599689.73</v>
      </c>
      <c r="F55" s="73">
        <v>20155988.379999999</v>
      </c>
      <c r="G55" s="74">
        <v>228321.35</v>
      </c>
      <c r="H55" s="97"/>
      <c r="I55" s="97"/>
      <c r="J55" s="80">
        <f t="shared" si="1"/>
        <v>0</v>
      </c>
      <c r="M55" s="80">
        <f t="shared" si="2"/>
        <v>5215380.0000000019</v>
      </c>
      <c r="N55" s="80">
        <f t="shared" si="3"/>
        <v>5000122.99280982</v>
      </c>
      <c r="P55" s="80">
        <v>5000122.99280982</v>
      </c>
    </row>
    <row r="56" spans="1:16" ht="24" x14ac:dyDescent="0.25">
      <c r="A56" s="67" t="s">
        <v>229</v>
      </c>
      <c r="B56" s="77">
        <v>51646958.770000003</v>
      </c>
      <c r="C56" s="72">
        <v>52267362.759999998</v>
      </c>
      <c r="D56" s="72">
        <v>620403.99</v>
      </c>
      <c r="E56" s="72">
        <f t="shared" si="0"/>
        <v>51646958.769999996</v>
      </c>
      <c r="F56" s="73">
        <v>38635988.270000003</v>
      </c>
      <c r="G56" s="74">
        <v>551120.5</v>
      </c>
      <c r="H56" s="97"/>
      <c r="I56" s="97"/>
      <c r="J56" s="80">
        <f t="shared" si="1"/>
        <v>0</v>
      </c>
      <c r="M56" s="80">
        <f t="shared" si="2"/>
        <v>12459849.999999993</v>
      </c>
      <c r="N56" s="80">
        <f t="shared" si="3"/>
        <v>11945588.331427695</v>
      </c>
      <c r="P56" s="80">
        <v>11945588.331427695</v>
      </c>
    </row>
    <row r="57" spans="1:16" ht="24" x14ac:dyDescent="0.25">
      <c r="A57" s="67" t="s">
        <v>114</v>
      </c>
      <c r="B57" s="77">
        <v>18582387.219999999</v>
      </c>
      <c r="C57" s="72">
        <v>18720795.32</v>
      </c>
      <c r="D57" s="72">
        <v>138408.1</v>
      </c>
      <c r="E57" s="72">
        <f t="shared" si="0"/>
        <v>18582387.219999999</v>
      </c>
      <c r="F57" s="73">
        <v>13384664.220000001</v>
      </c>
      <c r="G57" s="74">
        <v>157463</v>
      </c>
      <c r="H57" s="97"/>
      <c r="I57" s="97"/>
      <c r="J57" s="80">
        <f t="shared" si="1"/>
        <v>0</v>
      </c>
      <c r="M57" s="80">
        <f t="shared" si="2"/>
        <v>5040259.9999999981</v>
      </c>
      <c r="N57" s="80">
        <f t="shared" si="3"/>
        <v>4832230.8088268926</v>
      </c>
      <c r="P57" s="80">
        <v>4832230.8088268926</v>
      </c>
    </row>
    <row r="58" spans="1:16" ht="24" x14ac:dyDescent="0.25">
      <c r="A58" s="67" t="s">
        <v>115</v>
      </c>
      <c r="B58" s="77">
        <v>12549403.32</v>
      </c>
      <c r="C58" s="72">
        <v>12591699.35</v>
      </c>
      <c r="D58" s="72">
        <v>42296.03</v>
      </c>
      <c r="E58" s="72">
        <f t="shared" si="0"/>
        <v>12549403.32</v>
      </c>
      <c r="F58" s="73">
        <v>8326798.6699999999</v>
      </c>
      <c r="G58" s="74">
        <v>86604.65</v>
      </c>
      <c r="H58" s="97"/>
      <c r="I58" s="97"/>
      <c r="J58" s="80">
        <f t="shared" si="1"/>
        <v>0</v>
      </c>
      <c r="M58" s="80">
        <f t="shared" si="2"/>
        <v>4136000.0000000005</v>
      </c>
      <c r="N58" s="80">
        <f t="shared" si="3"/>
        <v>3965292.787536365</v>
      </c>
      <c r="P58" s="80">
        <v>3965292.787536365</v>
      </c>
    </row>
    <row r="59" spans="1:16" x14ac:dyDescent="0.25">
      <c r="A59" s="67" t="s">
        <v>116</v>
      </c>
      <c r="B59" s="77">
        <v>35683059.719999999</v>
      </c>
      <c r="C59" s="72">
        <v>35701550.289999999</v>
      </c>
      <c r="D59" s="72">
        <v>18490.57</v>
      </c>
      <c r="E59" s="72">
        <f t="shared" si="0"/>
        <v>35683059.719999999</v>
      </c>
      <c r="F59" s="73">
        <v>26936547.02</v>
      </c>
      <c r="G59" s="74">
        <v>456642.7</v>
      </c>
      <c r="H59" s="97"/>
      <c r="I59" s="97"/>
      <c r="J59" s="80">
        <f t="shared" si="1"/>
        <v>0</v>
      </c>
      <c r="M59" s="80">
        <f t="shared" si="2"/>
        <v>8289869.9999999991</v>
      </c>
      <c r="N59" s="80">
        <f t="shared" si="3"/>
        <v>7947718.0175565965</v>
      </c>
      <c r="P59" s="80">
        <v>7947718.0175565965</v>
      </c>
    </row>
    <row r="60" spans="1:16" ht="24" x14ac:dyDescent="0.25">
      <c r="A60" s="67" t="s">
        <v>117</v>
      </c>
      <c r="B60" s="77">
        <v>26730558.899999999</v>
      </c>
      <c r="C60" s="72">
        <v>26906990.030000001</v>
      </c>
      <c r="D60" s="72">
        <v>176431.13</v>
      </c>
      <c r="E60" s="72">
        <f t="shared" si="0"/>
        <v>26730558.900000002</v>
      </c>
      <c r="F60" s="73">
        <v>20257371.219999999</v>
      </c>
      <c r="G60" s="74">
        <v>258237.68</v>
      </c>
      <c r="H60" s="97"/>
      <c r="I60" s="97"/>
      <c r="J60" s="80">
        <f t="shared" si="1"/>
        <v>0</v>
      </c>
      <c r="M60" s="80">
        <f t="shared" si="2"/>
        <v>6214950.0000000037</v>
      </c>
      <c r="N60" s="80">
        <f t="shared" si="3"/>
        <v>5958437.2364359638</v>
      </c>
      <c r="P60" s="80">
        <v>5958437.2364359638</v>
      </c>
    </row>
    <row r="61" spans="1:16" ht="24" x14ac:dyDescent="0.25">
      <c r="A61" s="67" t="s">
        <v>118</v>
      </c>
      <c r="B61" s="77">
        <v>22219006.050000001</v>
      </c>
      <c r="C61" s="72">
        <v>22338350.050000001</v>
      </c>
      <c r="D61" s="72">
        <v>119344</v>
      </c>
      <c r="E61" s="72">
        <f t="shared" si="0"/>
        <v>22219006.050000001</v>
      </c>
      <c r="F61" s="73">
        <v>16889243.41</v>
      </c>
      <c r="G61" s="74">
        <v>201552.64000000001</v>
      </c>
      <c r="H61" s="97"/>
      <c r="I61" s="97"/>
      <c r="J61" s="80">
        <f t="shared" si="1"/>
        <v>0</v>
      </c>
      <c r="M61" s="80">
        <f t="shared" si="2"/>
        <v>5128210.0000000009</v>
      </c>
      <c r="N61" s="80">
        <f t="shared" si="3"/>
        <v>4916550.8041518051</v>
      </c>
      <c r="P61" s="80">
        <v>4916550.8041518051</v>
      </c>
    </row>
    <row r="62" spans="1:16" ht="24" x14ac:dyDescent="0.25">
      <c r="A62" s="67" t="s">
        <v>119</v>
      </c>
      <c r="B62" s="77">
        <v>27249394.879999999</v>
      </c>
      <c r="C62" s="72">
        <v>27341190.710000001</v>
      </c>
      <c r="D62" s="72">
        <v>91795.83</v>
      </c>
      <c r="E62" s="72">
        <f t="shared" si="0"/>
        <v>27249394.880000003</v>
      </c>
      <c r="F62" s="73">
        <v>20786649.449999999</v>
      </c>
      <c r="G62" s="74">
        <v>253515.43</v>
      </c>
      <c r="H62" s="97"/>
      <c r="I62" s="97"/>
      <c r="J62" s="80">
        <f t="shared" si="1"/>
        <v>0</v>
      </c>
      <c r="M62" s="80">
        <f t="shared" si="2"/>
        <v>6209230.0000000037</v>
      </c>
      <c r="N62" s="80">
        <f t="shared" si="3"/>
        <v>5952953.3208787329</v>
      </c>
      <c r="P62" s="80">
        <v>5952953.3208787329</v>
      </c>
    </row>
    <row r="63" spans="1:16" ht="24" x14ac:dyDescent="0.25">
      <c r="A63" s="67" t="s">
        <v>230</v>
      </c>
      <c r="B63" s="77">
        <v>58059961.369999997</v>
      </c>
      <c r="C63" s="72">
        <v>57670299.560000002</v>
      </c>
      <c r="D63" s="72">
        <v>115316.84</v>
      </c>
      <c r="E63" s="72">
        <f t="shared" si="0"/>
        <v>57554982.719999999</v>
      </c>
      <c r="F63" s="73">
        <v>42707066.780000001</v>
      </c>
      <c r="G63" s="74">
        <v>661344.6</v>
      </c>
      <c r="H63" s="97"/>
      <c r="I63" s="97"/>
      <c r="J63" s="87">
        <f t="shared" si="1"/>
        <v>-504978.64999999851</v>
      </c>
      <c r="M63" s="80">
        <f t="shared" si="2"/>
        <v>14186571.339999998</v>
      </c>
      <c r="N63" s="80">
        <f t="shared" si="3"/>
        <v>13601041.831327876</v>
      </c>
      <c r="P63" s="80">
        <v>13601041.831327876</v>
      </c>
    </row>
    <row r="64" spans="1:16" ht="24" x14ac:dyDescent="0.25">
      <c r="A64" s="67" t="s">
        <v>121</v>
      </c>
      <c r="B64" s="77">
        <v>28931246.199999999</v>
      </c>
      <c r="C64" s="72">
        <v>28951560.18</v>
      </c>
      <c r="D64" s="72">
        <v>20313.98</v>
      </c>
      <c r="E64" s="72">
        <f t="shared" si="0"/>
        <v>28931246.199999999</v>
      </c>
      <c r="F64" s="73">
        <v>22522892.989999998</v>
      </c>
      <c r="G64" s="74">
        <v>262963.21000000002</v>
      </c>
      <c r="H64" s="97"/>
      <c r="I64" s="97"/>
      <c r="J64" s="80">
        <f t="shared" si="1"/>
        <v>0</v>
      </c>
      <c r="M64" s="80">
        <f t="shared" si="2"/>
        <v>6145390.0000000009</v>
      </c>
      <c r="N64" s="80">
        <f t="shared" si="3"/>
        <v>5891748.2213728502</v>
      </c>
      <c r="P64" s="80">
        <v>5891748.2213728502</v>
      </c>
    </row>
    <row r="65" spans="1:16" ht="24" x14ac:dyDescent="0.25">
      <c r="A65" s="67" t="s">
        <v>231</v>
      </c>
      <c r="B65" s="77">
        <v>47808692.200000003</v>
      </c>
      <c r="C65" s="72">
        <v>47813668.630000003</v>
      </c>
      <c r="D65" s="72">
        <v>4976.43</v>
      </c>
      <c r="E65" s="72">
        <f t="shared" si="0"/>
        <v>47808692.200000003</v>
      </c>
      <c r="F65" s="73">
        <v>36804746.350000001</v>
      </c>
      <c r="G65" s="74">
        <v>464515.85</v>
      </c>
      <c r="H65" s="97"/>
      <c r="I65" s="97"/>
      <c r="J65" s="80">
        <f t="shared" si="1"/>
        <v>0</v>
      </c>
      <c r="M65" s="80">
        <f t="shared" si="2"/>
        <v>10539430.000000002</v>
      </c>
      <c r="N65" s="80">
        <f t="shared" si="3"/>
        <v>10104430.79394207</v>
      </c>
      <c r="P65" s="80">
        <v>10104430.79394207</v>
      </c>
    </row>
    <row r="66" spans="1:16" ht="24" x14ac:dyDescent="0.25">
      <c r="A66" s="67" t="s">
        <v>16</v>
      </c>
      <c r="B66" s="77">
        <v>40876098.979999997</v>
      </c>
      <c r="C66" s="72">
        <v>40892313.039999999</v>
      </c>
      <c r="D66" s="72">
        <v>16214.06</v>
      </c>
      <c r="E66" s="72">
        <f t="shared" si="0"/>
        <v>40876098.979999997</v>
      </c>
      <c r="F66" s="73">
        <v>28724694.780000001</v>
      </c>
      <c r="G66" s="74">
        <v>535374.19999999995</v>
      </c>
      <c r="H66" s="97"/>
      <c r="I66" s="97"/>
      <c r="J66" s="80">
        <f t="shared" si="1"/>
        <v>0</v>
      </c>
      <c r="M66" s="80">
        <f t="shared" si="2"/>
        <v>11616029.999999996</v>
      </c>
      <c r="N66" s="80">
        <f t="shared" si="3"/>
        <v>11136595.739556583</v>
      </c>
      <c r="P66" s="80">
        <v>11136595.739556583</v>
      </c>
    </row>
    <row r="67" spans="1:16" ht="24" x14ac:dyDescent="0.25">
      <c r="A67" s="67" t="s">
        <v>123</v>
      </c>
      <c r="B67" s="77">
        <v>45762646.200000003</v>
      </c>
      <c r="C67" s="72">
        <v>45773138.259999998</v>
      </c>
      <c r="D67" s="72">
        <v>10492.06</v>
      </c>
      <c r="E67" s="72">
        <f t="shared" ref="E67:E69" si="4">C67-D67</f>
        <v>45762646.199999996</v>
      </c>
      <c r="F67" s="73">
        <v>33319049.199999999</v>
      </c>
      <c r="G67" s="74">
        <v>551117</v>
      </c>
      <c r="H67" s="97"/>
      <c r="I67" s="97"/>
      <c r="J67" s="80">
        <f>E67-B67</f>
        <v>0</v>
      </c>
      <c r="M67" s="80">
        <f t="shared" ref="M67:M70" si="5">E67-F67-G67</f>
        <v>11892479.999999996</v>
      </c>
      <c r="N67" s="80">
        <f t="shared" ref="N67:N69" si="6">M67/514685160*493442300</f>
        <v>11401635.679381154</v>
      </c>
      <c r="P67" s="80">
        <v>11401635.679381154</v>
      </c>
    </row>
    <row r="68" spans="1:16" x14ac:dyDescent="0.25">
      <c r="A68" s="67" t="s">
        <v>232</v>
      </c>
      <c r="B68" s="77">
        <v>10826448.93</v>
      </c>
      <c r="C68" s="72">
        <v>10837277.65</v>
      </c>
      <c r="D68" s="72">
        <v>10828.72</v>
      </c>
      <c r="E68" s="72">
        <f t="shared" si="4"/>
        <v>10826448.93</v>
      </c>
      <c r="F68" s="73">
        <v>7277254.6900000004</v>
      </c>
      <c r="G68" s="74">
        <v>86604.24</v>
      </c>
      <c r="H68" s="97"/>
      <c r="I68" s="97"/>
      <c r="J68" s="80">
        <f>E68-B68</f>
        <v>0</v>
      </c>
      <c r="M68" s="80">
        <f t="shared" si="5"/>
        <v>3462589.9999999991</v>
      </c>
      <c r="N68" s="80">
        <f t="shared" si="6"/>
        <v>3319676.7778519192</v>
      </c>
      <c r="P68" s="80">
        <v>3319676.7778519192</v>
      </c>
    </row>
    <row r="69" spans="1:16" ht="24" x14ac:dyDescent="0.25">
      <c r="A69" s="67" t="s">
        <v>233</v>
      </c>
      <c r="B69" s="77">
        <v>13452859.24</v>
      </c>
      <c r="C69" s="72">
        <v>13453976.060000001</v>
      </c>
      <c r="D69" s="72">
        <v>1116.82</v>
      </c>
      <c r="E69" s="72">
        <f t="shared" si="4"/>
        <v>13452859.24</v>
      </c>
      <c r="F69" s="73">
        <v>9213793.0800000001</v>
      </c>
      <c r="G69" s="74">
        <v>165336.15</v>
      </c>
      <c r="H69" s="97"/>
      <c r="I69" s="97"/>
      <c r="J69" s="80">
        <f>E69-B69</f>
        <v>0</v>
      </c>
      <c r="M69" s="80">
        <f t="shared" si="5"/>
        <v>4073730.0100000002</v>
      </c>
      <c r="N69" s="80">
        <f t="shared" si="6"/>
        <v>3905592.8982164999</v>
      </c>
      <c r="P69" s="80">
        <v>3905592.8982164999</v>
      </c>
    </row>
    <row r="70" spans="1:16" x14ac:dyDescent="0.25">
      <c r="A70" s="68"/>
      <c r="B70" s="75">
        <f t="shared" ref="B70:G70" si="7">SUM(B2:B69)</f>
        <v>1935310160.0000005</v>
      </c>
      <c r="C70" s="75">
        <f t="shared" si="7"/>
        <v>1946371450.1099997</v>
      </c>
      <c r="D70" s="75">
        <f t="shared" si="7"/>
        <v>11061290.110000003</v>
      </c>
      <c r="E70" s="75">
        <f t="shared" si="7"/>
        <v>1935310160.0000007</v>
      </c>
      <c r="F70" s="75">
        <f t="shared" si="7"/>
        <v>1399525000</v>
      </c>
      <c r="G70" s="75">
        <f t="shared" si="7"/>
        <v>21099999.999999996</v>
      </c>
      <c r="H70" s="99"/>
      <c r="I70" s="99"/>
      <c r="J70" s="80">
        <f>E70-B70</f>
        <v>0</v>
      </c>
      <c r="M70" s="80">
        <f t="shared" si="5"/>
        <v>514685160.00000072</v>
      </c>
      <c r="N70" s="80">
        <f>H71-F70-G70</f>
        <v>493442300</v>
      </c>
    </row>
    <row r="71" spans="1:16" ht="24" x14ac:dyDescent="0.25">
      <c r="A71" s="58" t="s">
        <v>71</v>
      </c>
      <c r="B71" s="77"/>
      <c r="E71" s="72">
        <v>1935310160</v>
      </c>
      <c r="H71" s="80">
        <v>1914067300</v>
      </c>
      <c r="J71" s="80">
        <f t="shared" ref="J71:J134" si="8">E71-B71</f>
        <v>1935310160</v>
      </c>
    </row>
    <row r="72" spans="1:16" ht="24" x14ac:dyDescent="0.25">
      <c r="A72" s="58" t="s">
        <v>72</v>
      </c>
      <c r="B72" s="77"/>
      <c r="E72" s="72">
        <f>E71-E70</f>
        <v>0</v>
      </c>
      <c r="J72" s="80">
        <f t="shared" si="8"/>
        <v>0</v>
      </c>
    </row>
    <row r="73" spans="1:16" ht="24" x14ac:dyDescent="0.25">
      <c r="A73" s="60" t="s">
        <v>73</v>
      </c>
      <c r="B73" s="77"/>
      <c r="J73" s="80">
        <f t="shared" si="8"/>
        <v>0</v>
      </c>
    </row>
    <row r="74" spans="1:16" ht="24" x14ac:dyDescent="0.25">
      <c r="A74" s="61" t="s">
        <v>172</v>
      </c>
      <c r="B74" s="77"/>
      <c r="J74" s="80">
        <f t="shared" si="8"/>
        <v>0</v>
      </c>
    </row>
    <row r="75" spans="1:16" ht="24" x14ac:dyDescent="0.25">
      <c r="A75" s="67" t="s">
        <v>213</v>
      </c>
      <c r="B75" s="77"/>
      <c r="J75" s="80">
        <f t="shared" si="8"/>
        <v>0</v>
      </c>
    </row>
    <row r="76" spans="1:16" ht="24" x14ac:dyDescent="0.25">
      <c r="A76" s="67" t="s">
        <v>173</v>
      </c>
      <c r="B76" s="77"/>
      <c r="J76" s="80">
        <f t="shared" si="8"/>
        <v>0</v>
      </c>
    </row>
    <row r="77" spans="1:16" ht="24" x14ac:dyDescent="0.25">
      <c r="A77" s="67" t="s">
        <v>74</v>
      </c>
      <c r="B77" s="77"/>
      <c r="J77" s="80">
        <f t="shared" si="8"/>
        <v>0</v>
      </c>
    </row>
    <row r="78" spans="1:16" ht="24" x14ac:dyDescent="0.25">
      <c r="A78" s="67" t="s">
        <v>75</v>
      </c>
      <c r="B78" s="77"/>
      <c r="J78" s="80">
        <f t="shared" si="8"/>
        <v>0</v>
      </c>
    </row>
    <row r="79" spans="1:16" ht="24" x14ac:dyDescent="0.25">
      <c r="A79" s="67" t="s">
        <v>76</v>
      </c>
      <c r="B79" s="77"/>
      <c r="J79" s="80">
        <f t="shared" si="8"/>
        <v>0</v>
      </c>
    </row>
    <row r="80" spans="1:16" ht="24" x14ac:dyDescent="0.25">
      <c r="A80" s="67" t="s">
        <v>139</v>
      </c>
      <c r="B80" s="77"/>
      <c r="J80" s="80">
        <f t="shared" si="8"/>
        <v>0</v>
      </c>
    </row>
    <row r="81" spans="1:10" ht="24" x14ac:dyDescent="0.25">
      <c r="A81" s="67" t="s">
        <v>77</v>
      </c>
      <c r="B81" s="77"/>
      <c r="J81" s="80">
        <f t="shared" si="8"/>
        <v>0</v>
      </c>
    </row>
    <row r="82" spans="1:10" ht="24" x14ac:dyDescent="0.25">
      <c r="A82" s="67" t="s">
        <v>214</v>
      </c>
      <c r="B82" s="77"/>
      <c r="J82" s="80">
        <f t="shared" si="8"/>
        <v>0</v>
      </c>
    </row>
    <row r="83" spans="1:10" ht="24" x14ac:dyDescent="0.25">
      <c r="A83" s="67" t="s">
        <v>78</v>
      </c>
      <c r="B83" s="77"/>
      <c r="J83" s="80">
        <f t="shared" si="8"/>
        <v>0</v>
      </c>
    </row>
    <row r="84" spans="1:10" ht="24" x14ac:dyDescent="0.25">
      <c r="A84" s="67" t="s">
        <v>215</v>
      </c>
      <c r="B84" s="77"/>
      <c r="J84" s="80">
        <f t="shared" si="8"/>
        <v>0</v>
      </c>
    </row>
    <row r="85" spans="1:10" ht="24" x14ac:dyDescent="0.25">
      <c r="A85" s="67" t="s">
        <v>80</v>
      </c>
      <c r="B85" s="77"/>
      <c r="J85" s="80">
        <f t="shared" si="8"/>
        <v>0</v>
      </c>
    </row>
    <row r="86" spans="1:10" ht="24" x14ac:dyDescent="0.25">
      <c r="A86" s="67" t="s">
        <v>216</v>
      </c>
      <c r="B86" s="77"/>
      <c r="J86" s="80">
        <f t="shared" si="8"/>
        <v>0</v>
      </c>
    </row>
    <row r="87" spans="1:10" ht="24" x14ac:dyDescent="0.25">
      <c r="A87" s="67" t="s">
        <v>217</v>
      </c>
      <c r="B87" s="77"/>
      <c r="J87" s="80">
        <f t="shared" si="8"/>
        <v>0</v>
      </c>
    </row>
    <row r="88" spans="1:10" x14ac:dyDescent="0.25">
      <c r="A88" s="67" t="s">
        <v>218</v>
      </c>
      <c r="B88" s="77"/>
      <c r="J88" s="80">
        <f t="shared" si="8"/>
        <v>0</v>
      </c>
    </row>
    <row r="89" spans="1:10" ht="24" x14ac:dyDescent="0.25">
      <c r="A89" s="67" t="s">
        <v>174</v>
      </c>
      <c r="B89" s="77"/>
      <c r="J89" s="80">
        <f t="shared" si="8"/>
        <v>0</v>
      </c>
    </row>
    <row r="90" spans="1:10" ht="24" x14ac:dyDescent="0.25">
      <c r="A90" s="67" t="s">
        <v>84</v>
      </c>
      <c r="B90" s="77"/>
      <c r="J90" s="80">
        <f t="shared" si="8"/>
        <v>0</v>
      </c>
    </row>
    <row r="91" spans="1:10" x14ac:dyDescent="0.25">
      <c r="A91" s="67" t="s">
        <v>175</v>
      </c>
      <c r="B91" s="77"/>
      <c r="J91" s="80">
        <f t="shared" si="8"/>
        <v>0</v>
      </c>
    </row>
    <row r="92" spans="1:10" x14ac:dyDescent="0.25">
      <c r="A92" s="67" t="s">
        <v>11</v>
      </c>
      <c r="B92" s="77"/>
      <c r="J92" s="80">
        <f t="shared" si="8"/>
        <v>0</v>
      </c>
    </row>
    <row r="93" spans="1:10" x14ac:dyDescent="0.25">
      <c r="A93" s="67" t="s">
        <v>219</v>
      </c>
      <c r="B93" s="77"/>
      <c r="J93" s="80">
        <f t="shared" si="8"/>
        <v>0</v>
      </c>
    </row>
    <row r="94" spans="1:10" x14ac:dyDescent="0.25">
      <c r="A94" s="67" t="s">
        <v>86</v>
      </c>
      <c r="B94" s="77"/>
      <c r="J94" s="80">
        <f t="shared" si="8"/>
        <v>0</v>
      </c>
    </row>
    <row r="95" spans="1:10" x14ac:dyDescent="0.25">
      <c r="A95" s="67" t="s">
        <v>176</v>
      </c>
      <c r="B95" s="77"/>
      <c r="J95" s="80">
        <f t="shared" si="8"/>
        <v>0</v>
      </c>
    </row>
    <row r="96" spans="1:10" ht="24" x14ac:dyDescent="0.25">
      <c r="A96" s="67" t="s">
        <v>12</v>
      </c>
      <c r="B96" s="77"/>
      <c r="J96" s="80">
        <f t="shared" si="8"/>
        <v>0</v>
      </c>
    </row>
    <row r="97" spans="1:10" ht="24" x14ac:dyDescent="0.25">
      <c r="A97" s="67" t="s">
        <v>220</v>
      </c>
      <c r="B97" s="77"/>
      <c r="J97" s="80">
        <f t="shared" si="8"/>
        <v>0</v>
      </c>
    </row>
    <row r="98" spans="1:10" ht="24" x14ac:dyDescent="0.25">
      <c r="A98" s="67" t="s">
        <v>88</v>
      </c>
      <c r="B98" s="77"/>
      <c r="J98" s="80">
        <f t="shared" si="8"/>
        <v>0</v>
      </c>
    </row>
    <row r="99" spans="1:10" ht="24" x14ac:dyDescent="0.25">
      <c r="A99" s="67" t="s">
        <v>89</v>
      </c>
      <c r="B99" s="77"/>
      <c r="J99" s="80">
        <f t="shared" si="8"/>
        <v>0</v>
      </c>
    </row>
    <row r="100" spans="1:10" x14ac:dyDescent="0.25">
      <c r="A100" s="67" t="s">
        <v>90</v>
      </c>
      <c r="B100" s="77"/>
      <c r="J100" s="80">
        <f t="shared" si="8"/>
        <v>0</v>
      </c>
    </row>
    <row r="101" spans="1:10" x14ac:dyDescent="0.25">
      <c r="A101" s="67" t="s">
        <v>91</v>
      </c>
      <c r="B101" s="77"/>
      <c r="J101" s="80">
        <f t="shared" si="8"/>
        <v>0</v>
      </c>
    </row>
    <row r="102" spans="1:10" ht="24" x14ac:dyDescent="0.25">
      <c r="A102" s="67" t="s">
        <v>92</v>
      </c>
      <c r="B102" s="77"/>
      <c r="J102" s="80">
        <f t="shared" si="8"/>
        <v>0</v>
      </c>
    </row>
    <row r="103" spans="1:10" ht="24" x14ac:dyDescent="0.25">
      <c r="A103" s="67" t="s">
        <v>221</v>
      </c>
      <c r="B103" s="77"/>
      <c r="J103" s="80">
        <f t="shared" si="8"/>
        <v>0</v>
      </c>
    </row>
    <row r="104" spans="1:10" ht="24" x14ac:dyDescent="0.25">
      <c r="A104" s="67" t="s">
        <v>94</v>
      </c>
      <c r="B104" s="77"/>
      <c r="J104" s="80">
        <f t="shared" si="8"/>
        <v>0</v>
      </c>
    </row>
    <row r="105" spans="1:10" ht="24" x14ac:dyDescent="0.25">
      <c r="A105" s="67" t="s">
        <v>222</v>
      </c>
      <c r="B105" s="77"/>
      <c r="J105" s="80">
        <f t="shared" si="8"/>
        <v>0</v>
      </c>
    </row>
    <row r="106" spans="1:10" ht="24" x14ac:dyDescent="0.25">
      <c r="A106" s="67" t="s">
        <v>13</v>
      </c>
      <c r="B106" s="77"/>
      <c r="J106" s="80">
        <f t="shared" si="8"/>
        <v>0</v>
      </c>
    </row>
    <row r="107" spans="1:10" ht="24" x14ac:dyDescent="0.25">
      <c r="A107" s="67" t="s">
        <v>96</v>
      </c>
      <c r="B107" s="77"/>
      <c r="J107" s="80">
        <f t="shared" si="8"/>
        <v>0</v>
      </c>
    </row>
    <row r="108" spans="1:10" ht="24" x14ac:dyDescent="0.25">
      <c r="A108" s="67" t="s">
        <v>97</v>
      </c>
      <c r="B108" s="77"/>
      <c r="J108" s="80">
        <f t="shared" si="8"/>
        <v>0</v>
      </c>
    </row>
    <row r="109" spans="1:10" ht="24" x14ac:dyDescent="0.25">
      <c r="A109" s="67" t="s">
        <v>98</v>
      </c>
      <c r="B109" s="77"/>
      <c r="J109" s="80">
        <f t="shared" si="8"/>
        <v>0</v>
      </c>
    </row>
    <row r="110" spans="1:10" ht="24" x14ac:dyDescent="0.25">
      <c r="A110" s="67" t="s">
        <v>99</v>
      </c>
      <c r="B110" s="77"/>
      <c r="J110" s="80">
        <f t="shared" si="8"/>
        <v>0</v>
      </c>
    </row>
    <row r="111" spans="1:10" ht="24" x14ac:dyDescent="0.25">
      <c r="A111" s="67" t="s">
        <v>100</v>
      </c>
      <c r="B111" s="77"/>
      <c r="J111" s="80">
        <f t="shared" si="8"/>
        <v>0</v>
      </c>
    </row>
    <row r="112" spans="1:10" ht="24" x14ac:dyDescent="0.25">
      <c r="A112" s="67" t="s">
        <v>223</v>
      </c>
      <c r="B112" s="77"/>
      <c r="J112" s="80">
        <f t="shared" si="8"/>
        <v>0</v>
      </c>
    </row>
    <row r="113" spans="1:10" ht="24" x14ac:dyDescent="0.25">
      <c r="A113" s="67" t="s">
        <v>224</v>
      </c>
      <c r="B113" s="77"/>
      <c r="J113" s="80">
        <f t="shared" si="8"/>
        <v>0</v>
      </c>
    </row>
    <row r="114" spans="1:10" ht="24" x14ac:dyDescent="0.25">
      <c r="A114" s="67" t="s">
        <v>103</v>
      </c>
      <c r="B114" s="77"/>
      <c r="J114" s="80">
        <f t="shared" si="8"/>
        <v>0</v>
      </c>
    </row>
    <row r="115" spans="1:10" ht="24" x14ac:dyDescent="0.25">
      <c r="A115" s="67" t="s">
        <v>104</v>
      </c>
      <c r="B115" s="77"/>
      <c r="J115" s="80">
        <f t="shared" si="8"/>
        <v>0</v>
      </c>
    </row>
    <row r="116" spans="1:10" ht="24" x14ac:dyDescent="0.25">
      <c r="A116" s="67" t="s">
        <v>105</v>
      </c>
      <c r="B116" s="77"/>
      <c r="J116" s="80">
        <f t="shared" si="8"/>
        <v>0</v>
      </c>
    </row>
    <row r="117" spans="1:10" ht="24" x14ac:dyDescent="0.25">
      <c r="A117" s="67" t="s">
        <v>177</v>
      </c>
      <c r="B117" s="77"/>
      <c r="J117" s="80">
        <f t="shared" si="8"/>
        <v>0</v>
      </c>
    </row>
    <row r="118" spans="1:10" x14ac:dyDescent="0.25">
      <c r="A118" s="67" t="s">
        <v>225</v>
      </c>
      <c r="B118" s="77"/>
      <c r="J118" s="80">
        <f t="shared" si="8"/>
        <v>0</v>
      </c>
    </row>
    <row r="119" spans="1:10" ht="24" x14ac:dyDescent="0.25">
      <c r="A119" s="67" t="s">
        <v>108</v>
      </c>
      <c r="B119" s="77"/>
      <c r="J119" s="80">
        <f t="shared" si="8"/>
        <v>0</v>
      </c>
    </row>
    <row r="120" spans="1:10" ht="24" x14ac:dyDescent="0.25">
      <c r="A120" s="67" t="s">
        <v>226</v>
      </c>
      <c r="B120" s="77"/>
      <c r="J120" s="80">
        <f t="shared" si="8"/>
        <v>0</v>
      </c>
    </row>
    <row r="121" spans="1:10" ht="24" x14ac:dyDescent="0.25">
      <c r="A121" s="67" t="s">
        <v>227</v>
      </c>
      <c r="B121" s="77"/>
      <c r="J121" s="80">
        <f t="shared" si="8"/>
        <v>0</v>
      </c>
    </row>
    <row r="122" spans="1:10" x14ac:dyDescent="0.25">
      <c r="A122" s="67" t="s">
        <v>111</v>
      </c>
      <c r="B122" s="77"/>
      <c r="J122" s="80">
        <f t="shared" si="8"/>
        <v>0</v>
      </c>
    </row>
    <row r="123" spans="1:10" ht="24" x14ac:dyDescent="0.25">
      <c r="A123" s="67" t="s">
        <v>112</v>
      </c>
      <c r="B123" s="77"/>
      <c r="J123" s="80">
        <f t="shared" si="8"/>
        <v>0</v>
      </c>
    </row>
    <row r="124" spans="1:10" ht="24" x14ac:dyDescent="0.25">
      <c r="A124" s="67" t="s">
        <v>228</v>
      </c>
      <c r="B124" s="77"/>
      <c r="J124" s="80">
        <f t="shared" si="8"/>
        <v>0</v>
      </c>
    </row>
    <row r="125" spans="1:10" ht="24" x14ac:dyDescent="0.25">
      <c r="A125" s="67" t="s">
        <v>229</v>
      </c>
      <c r="B125" s="77"/>
      <c r="J125" s="80">
        <f t="shared" si="8"/>
        <v>0</v>
      </c>
    </row>
    <row r="126" spans="1:10" ht="24" x14ac:dyDescent="0.25">
      <c r="A126" s="67" t="s">
        <v>114</v>
      </c>
      <c r="B126" s="77"/>
      <c r="J126" s="80">
        <f t="shared" si="8"/>
        <v>0</v>
      </c>
    </row>
    <row r="127" spans="1:10" ht="24" x14ac:dyDescent="0.25">
      <c r="A127" s="67" t="s">
        <v>115</v>
      </c>
      <c r="B127" s="77"/>
      <c r="J127" s="80">
        <f t="shared" si="8"/>
        <v>0</v>
      </c>
    </row>
    <row r="128" spans="1:10" x14ac:dyDescent="0.25">
      <c r="A128" s="67" t="s">
        <v>116</v>
      </c>
      <c r="B128" s="77"/>
      <c r="J128" s="80">
        <f t="shared" si="8"/>
        <v>0</v>
      </c>
    </row>
    <row r="129" spans="1:16" ht="24" x14ac:dyDescent="0.25">
      <c r="A129" s="67" t="s">
        <v>117</v>
      </c>
      <c r="B129" s="77"/>
      <c r="J129" s="80">
        <f t="shared" si="8"/>
        <v>0</v>
      </c>
    </row>
    <row r="130" spans="1:16" ht="24" x14ac:dyDescent="0.25">
      <c r="A130" s="67" t="s">
        <v>118</v>
      </c>
      <c r="B130" s="77"/>
      <c r="J130" s="80">
        <f t="shared" si="8"/>
        <v>0</v>
      </c>
    </row>
    <row r="131" spans="1:16" ht="24" x14ac:dyDescent="0.25">
      <c r="A131" s="67" t="s">
        <v>119</v>
      </c>
      <c r="B131" s="77"/>
      <c r="J131" s="80">
        <f t="shared" si="8"/>
        <v>0</v>
      </c>
    </row>
    <row r="132" spans="1:16" ht="24" x14ac:dyDescent="0.25">
      <c r="A132" s="67" t="s">
        <v>230</v>
      </c>
      <c r="B132" s="77"/>
      <c r="J132" s="80">
        <f t="shared" si="8"/>
        <v>0</v>
      </c>
    </row>
    <row r="133" spans="1:16" ht="24" x14ac:dyDescent="0.25">
      <c r="A133" s="67" t="s">
        <v>121</v>
      </c>
      <c r="B133" s="77"/>
      <c r="J133" s="80">
        <f t="shared" si="8"/>
        <v>0</v>
      </c>
    </row>
    <row r="134" spans="1:16" ht="24" x14ac:dyDescent="0.25">
      <c r="A134" s="67" t="s">
        <v>231</v>
      </c>
      <c r="B134" s="77"/>
      <c r="J134" s="80">
        <f t="shared" si="8"/>
        <v>0</v>
      </c>
    </row>
    <row r="135" spans="1:16" ht="24" x14ac:dyDescent="0.25">
      <c r="A135" s="67" t="s">
        <v>16</v>
      </c>
      <c r="B135" s="77"/>
      <c r="J135" s="80">
        <f t="shared" ref="J135:J189" si="9">E135-B135</f>
        <v>0</v>
      </c>
    </row>
    <row r="136" spans="1:16" ht="24" x14ac:dyDescent="0.25">
      <c r="A136" s="67" t="s">
        <v>123</v>
      </c>
      <c r="B136" s="77"/>
      <c r="J136" s="80">
        <f t="shared" si="9"/>
        <v>0</v>
      </c>
    </row>
    <row r="137" spans="1:16" x14ac:dyDescent="0.25">
      <c r="A137" s="67" t="s">
        <v>232</v>
      </c>
      <c r="B137" s="77"/>
      <c r="J137" s="80">
        <f t="shared" si="9"/>
        <v>0</v>
      </c>
    </row>
    <row r="138" spans="1:16" ht="24" x14ac:dyDescent="0.25">
      <c r="A138" s="67" t="s">
        <v>233</v>
      </c>
      <c r="B138" s="77"/>
      <c r="J138" s="80">
        <f t="shared" si="9"/>
        <v>0</v>
      </c>
    </row>
    <row r="139" spans="1:16" x14ac:dyDescent="0.25">
      <c r="A139" s="60"/>
      <c r="B139" s="77"/>
      <c r="J139" s="80">
        <f t="shared" si="9"/>
        <v>0</v>
      </c>
    </row>
    <row r="140" spans="1:16" x14ac:dyDescent="0.25">
      <c r="A140" s="60"/>
      <c r="B140" s="77"/>
      <c r="J140" s="80">
        <f t="shared" si="9"/>
        <v>0</v>
      </c>
    </row>
    <row r="141" spans="1:16" ht="15.75" x14ac:dyDescent="0.25">
      <c r="A141" s="67" t="s">
        <v>234</v>
      </c>
      <c r="B141" s="77">
        <v>48236613.5</v>
      </c>
      <c r="E141" s="72">
        <v>48236583.5</v>
      </c>
      <c r="F141" s="62">
        <v>36679131.090000004</v>
      </c>
      <c r="G141" s="59">
        <v>540544.93999999994</v>
      </c>
      <c r="I141" s="65">
        <v>57407.47</v>
      </c>
      <c r="J141" s="80">
        <f t="shared" si="9"/>
        <v>-30</v>
      </c>
      <c r="M141" s="80">
        <f>E141-F141-G141-H141-I141</f>
        <v>10959499.999999996</v>
      </c>
      <c r="N141" s="80">
        <f>M141/356046016.63*326415470</f>
        <v>10047438.186009958</v>
      </c>
      <c r="P141" s="80">
        <v>10047438.186009958</v>
      </c>
    </row>
    <row r="142" spans="1:16" ht="24" x14ac:dyDescent="0.25">
      <c r="A142" s="67" t="s">
        <v>39</v>
      </c>
      <c r="B142" s="77">
        <v>18574733.09</v>
      </c>
      <c r="E142" s="72">
        <v>18574723.100000001</v>
      </c>
      <c r="F142" s="62">
        <v>15557900.939999999</v>
      </c>
      <c r="G142" s="59">
        <v>295775.34999999998</v>
      </c>
      <c r="I142" s="65">
        <v>129166.8</v>
      </c>
      <c r="J142" s="80">
        <f t="shared" si="9"/>
        <v>-9.9899999983608723</v>
      </c>
      <c r="M142" s="80">
        <f t="shared" ref="M142:M189" si="10">E142-F142-G142-H142-I142</f>
        <v>2591880.0100000021</v>
      </c>
      <c r="N142" s="80">
        <f t="shared" ref="N142:N189" si="11">M142/356046016.63*326415470</f>
        <v>2376180.8646407137</v>
      </c>
      <c r="P142" s="80">
        <v>2376180.8646407137</v>
      </c>
    </row>
    <row r="143" spans="1:16" ht="24" x14ac:dyDescent="0.25">
      <c r="A143" s="67" t="s">
        <v>32</v>
      </c>
      <c r="B143" s="77">
        <v>21614558.98</v>
      </c>
      <c r="E143" s="72">
        <v>21614578.989999998</v>
      </c>
      <c r="F143" s="62">
        <v>18140914.109999999</v>
      </c>
      <c r="G143" s="59">
        <v>263138.07</v>
      </c>
      <c r="I143" s="65">
        <v>129166.8</v>
      </c>
      <c r="J143" s="80">
        <f t="shared" si="9"/>
        <v>20.009999997913837</v>
      </c>
      <c r="M143" s="80">
        <f t="shared" si="10"/>
        <v>3081360.0099999993</v>
      </c>
      <c r="N143" s="80">
        <f t="shared" si="11"/>
        <v>2824925.7930852715</v>
      </c>
      <c r="P143" s="80">
        <v>2824925.7930852715</v>
      </c>
    </row>
    <row r="144" spans="1:16" ht="24" x14ac:dyDescent="0.25">
      <c r="A144" s="67" t="s">
        <v>186</v>
      </c>
      <c r="B144" s="77">
        <v>17221680.699999999</v>
      </c>
      <c r="E144" s="72">
        <v>17221690.710000001</v>
      </c>
      <c r="F144" s="62">
        <v>14606323.789999999</v>
      </c>
      <c r="G144" s="59">
        <v>238660.11</v>
      </c>
      <c r="I144" s="65">
        <v>129166.8</v>
      </c>
      <c r="J144" s="80">
        <f t="shared" si="9"/>
        <v>10.010000001639128</v>
      </c>
      <c r="M144" s="80">
        <f t="shared" si="10"/>
        <v>2247540.0100000021</v>
      </c>
      <c r="N144" s="80">
        <f t="shared" si="11"/>
        <v>2060497.2235101266</v>
      </c>
      <c r="P144" s="80">
        <v>2060497.2235101266</v>
      </c>
    </row>
    <row r="145" spans="1:16" ht="24" x14ac:dyDescent="0.25">
      <c r="A145" s="67" t="s">
        <v>26</v>
      </c>
      <c r="B145" s="77">
        <v>16353316.120000001</v>
      </c>
      <c r="E145" s="72">
        <v>16353366.130000001</v>
      </c>
      <c r="F145" s="62">
        <v>14852042.439999999</v>
      </c>
      <c r="G145" s="59">
        <v>277416.88</v>
      </c>
      <c r="I145" s="65">
        <v>129166.8</v>
      </c>
      <c r="J145" s="80">
        <f t="shared" si="9"/>
        <v>50.009999999776483</v>
      </c>
      <c r="M145" s="80">
        <f t="shared" si="10"/>
        <v>1094740.0100000014</v>
      </c>
      <c r="N145" s="80">
        <f t="shared" si="11"/>
        <v>1003634.5253183943</v>
      </c>
      <c r="P145" s="80">
        <v>1003634.5253183943</v>
      </c>
    </row>
    <row r="146" spans="1:16" ht="24" x14ac:dyDescent="0.25">
      <c r="A146" s="67" t="s">
        <v>33</v>
      </c>
      <c r="B146" s="77">
        <v>29149436.699999999</v>
      </c>
      <c r="E146" s="72">
        <v>27774769.690000001</v>
      </c>
      <c r="F146" s="62">
        <v>20729212.739999998</v>
      </c>
      <c r="G146" s="59">
        <v>558913.42000000004</v>
      </c>
      <c r="I146" s="65">
        <v>157870.54</v>
      </c>
      <c r="J146" s="80">
        <f t="shared" si="9"/>
        <v>-1374667.0099999979</v>
      </c>
      <c r="M146" s="80">
        <f t="shared" si="10"/>
        <v>6328772.990000003</v>
      </c>
      <c r="N146" s="80">
        <f t="shared" si="11"/>
        <v>5802085.442795244</v>
      </c>
      <c r="P146" s="80">
        <v>5802085.442795244</v>
      </c>
    </row>
    <row r="147" spans="1:16" ht="24" x14ac:dyDescent="0.25">
      <c r="A147" s="67" t="s">
        <v>185</v>
      </c>
      <c r="B147" s="77">
        <v>19459643.819999997</v>
      </c>
      <c r="E147" s="72">
        <v>19466076.129999999</v>
      </c>
      <c r="F147" s="62">
        <v>17063035.579999998</v>
      </c>
      <c r="G147" s="59">
        <v>387567.7</v>
      </c>
      <c r="I147" s="65">
        <v>157870.54</v>
      </c>
      <c r="J147" s="80">
        <f t="shared" si="9"/>
        <v>6432.3100000023842</v>
      </c>
      <c r="M147" s="80">
        <f t="shared" si="10"/>
        <v>1857602.3100000008</v>
      </c>
      <c r="N147" s="80">
        <f t="shared" si="11"/>
        <v>1703010.5738322299</v>
      </c>
      <c r="P147" s="80">
        <v>1703010.5738322299</v>
      </c>
    </row>
    <row r="148" spans="1:16" ht="24" x14ac:dyDescent="0.25">
      <c r="A148" s="67" t="s">
        <v>27</v>
      </c>
      <c r="B148" s="77">
        <v>15236701.430000002</v>
      </c>
      <c r="E148" s="72">
        <v>15236741.439999999</v>
      </c>
      <c r="F148" s="59">
        <v>13317262.48</v>
      </c>
      <c r="G148" s="59">
        <v>214182.15</v>
      </c>
      <c r="I148" s="65">
        <v>129166.8</v>
      </c>
      <c r="J148" s="80">
        <f t="shared" si="9"/>
        <v>40.009999997913837</v>
      </c>
      <c r="M148" s="80">
        <f t="shared" si="10"/>
        <v>1576130.0099999991</v>
      </c>
      <c r="N148" s="80">
        <f t="shared" si="11"/>
        <v>1444962.7125863638</v>
      </c>
      <c r="P148" s="80">
        <v>1444962.7125863638</v>
      </c>
    </row>
    <row r="149" spans="1:16" ht="24" x14ac:dyDescent="0.25">
      <c r="A149" s="67" t="s">
        <v>30</v>
      </c>
      <c r="B149" s="77">
        <v>20514745.960000001</v>
      </c>
      <c r="E149" s="72">
        <v>20550083.399999999</v>
      </c>
      <c r="F149" s="59">
        <v>16645111.26</v>
      </c>
      <c r="G149" s="59">
        <v>265177.90000000002</v>
      </c>
      <c r="I149" s="65">
        <v>129166.8</v>
      </c>
      <c r="J149" s="80">
        <f t="shared" si="9"/>
        <v>35337.439999997616</v>
      </c>
      <c r="M149" s="80">
        <f t="shared" si="10"/>
        <v>3510627.439999999</v>
      </c>
      <c r="N149" s="80">
        <f t="shared" si="11"/>
        <v>3218469.108765034</v>
      </c>
      <c r="P149" s="80">
        <v>3218469.108765034</v>
      </c>
    </row>
    <row r="150" spans="1:16" ht="36" x14ac:dyDescent="0.25">
      <c r="A150" s="67" t="s">
        <v>196</v>
      </c>
      <c r="B150" s="77">
        <v>65188694.07</v>
      </c>
      <c r="E150" s="72">
        <v>65188690.060000002</v>
      </c>
      <c r="F150" s="59">
        <v>49007202.409999996</v>
      </c>
      <c r="G150" s="59">
        <v>338611.78</v>
      </c>
      <c r="I150" s="66">
        <v>229629.88</v>
      </c>
      <c r="J150" s="80">
        <f t="shared" si="9"/>
        <v>-4.0099999979138374</v>
      </c>
      <c r="M150" s="80">
        <f t="shared" si="10"/>
        <v>15613245.990000006</v>
      </c>
      <c r="N150" s="80">
        <f t="shared" si="11"/>
        <v>14313894.244034214</v>
      </c>
      <c r="P150" s="80">
        <v>14313894.244034214</v>
      </c>
    </row>
    <row r="151" spans="1:16" ht="36" x14ac:dyDescent="0.25">
      <c r="A151" s="69" t="s">
        <v>171</v>
      </c>
      <c r="B151" s="77">
        <v>73715209.729999989</v>
      </c>
      <c r="E151" s="72">
        <v>73715212.730000004</v>
      </c>
      <c r="F151" s="59">
        <v>58624190.420000002</v>
      </c>
      <c r="G151" s="59">
        <v>224381.3</v>
      </c>
      <c r="I151" s="66">
        <v>215278.01</v>
      </c>
      <c r="J151" s="80">
        <f t="shared" si="9"/>
        <v>3.0000000149011612</v>
      </c>
      <c r="M151" s="80">
        <f t="shared" si="10"/>
        <v>14651363.000000002</v>
      </c>
      <c r="N151" s="80">
        <f t="shared" si="11"/>
        <v>13432060.229325563</v>
      </c>
      <c r="P151" s="80">
        <v>13432060.229325563</v>
      </c>
    </row>
    <row r="152" spans="1:16" ht="36" x14ac:dyDescent="0.25">
      <c r="A152" s="69" t="s">
        <v>197</v>
      </c>
      <c r="B152" s="77">
        <v>79967438.789999992</v>
      </c>
      <c r="E152" s="72">
        <v>79967440.790000007</v>
      </c>
      <c r="F152" s="59">
        <v>55954906.259999998</v>
      </c>
      <c r="G152" s="59">
        <v>230500.79</v>
      </c>
      <c r="I152" s="66">
        <v>243981.74</v>
      </c>
      <c r="J152" s="80">
        <f t="shared" si="9"/>
        <v>2.0000000149011612</v>
      </c>
      <c r="M152" s="80">
        <f t="shared" si="10"/>
        <v>23538052.000000011</v>
      </c>
      <c r="N152" s="80">
        <f t="shared" si="11"/>
        <v>21579189.058724239</v>
      </c>
      <c r="P152" s="80">
        <v>21579189.058724239</v>
      </c>
    </row>
    <row r="153" spans="1:16" ht="15.75" x14ac:dyDescent="0.25">
      <c r="A153" s="67" t="s">
        <v>193</v>
      </c>
      <c r="B153" s="77">
        <v>112203938.34999999</v>
      </c>
      <c r="E153" s="72">
        <v>112203948.34999999</v>
      </c>
      <c r="F153" s="59">
        <v>81784664.239999995</v>
      </c>
      <c r="G153" s="59">
        <v>2353963.8199999998</v>
      </c>
      <c r="I153" s="65">
        <v>617130.29</v>
      </c>
      <c r="J153" s="80">
        <f t="shared" si="9"/>
        <v>10</v>
      </c>
      <c r="M153" s="80">
        <f t="shared" si="10"/>
        <v>27448190</v>
      </c>
      <c r="N153" s="80">
        <f t="shared" si="11"/>
        <v>25163921.013080597</v>
      </c>
      <c r="P153" s="80">
        <v>25163921.013080597</v>
      </c>
    </row>
    <row r="154" spans="1:16" ht="15.75" x14ac:dyDescent="0.25">
      <c r="A154" s="67" t="s">
        <v>23</v>
      </c>
      <c r="B154" s="77">
        <v>101093466.41</v>
      </c>
      <c r="E154" s="72">
        <v>101093466.41</v>
      </c>
      <c r="F154" s="59">
        <v>86830405.569999993</v>
      </c>
      <c r="G154" s="59">
        <v>2602823.08</v>
      </c>
      <c r="I154" s="65">
        <v>674537.76</v>
      </c>
      <c r="J154" s="80">
        <f t="shared" si="9"/>
        <v>0</v>
      </c>
      <c r="M154" s="80">
        <f t="shared" si="10"/>
        <v>10985700.000000004</v>
      </c>
      <c r="N154" s="80">
        <f t="shared" si="11"/>
        <v>10071457.792787051</v>
      </c>
      <c r="P154" s="80">
        <v>10071457.792787051</v>
      </c>
    </row>
    <row r="155" spans="1:16" ht="15.75" x14ac:dyDescent="0.25">
      <c r="A155" s="67" t="s">
        <v>38</v>
      </c>
      <c r="B155" s="77">
        <v>77164494.480000004</v>
      </c>
      <c r="E155" s="72">
        <v>77195504.480000004</v>
      </c>
      <c r="F155" s="59">
        <v>67927101.349999994</v>
      </c>
      <c r="G155" s="59">
        <v>2133662.1800000002</v>
      </c>
      <c r="I155" s="65">
        <v>545370.94999999995</v>
      </c>
      <c r="J155" s="80">
        <f t="shared" si="9"/>
        <v>31010</v>
      </c>
      <c r="M155" s="80">
        <f t="shared" si="10"/>
        <v>6589370.0000000102</v>
      </c>
      <c r="N155" s="80">
        <f t="shared" si="11"/>
        <v>6040995.278958763</v>
      </c>
      <c r="P155" s="80">
        <v>6040995.278958763</v>
      </c>
    </row>
    <row r="156" spans="1:16" ht="24" x14ac:dyDescent="0.25">
      <c r="A156" s="67" t="s">
        <v>178</v>
      </c>
      <c r="B156" s="77">
        <v>74798058.590000004</v>
      </c>
      <c r="E156" s="72">
        <v>74798154.25</v>
      </c>
      <c r="F156" s="59">
        <v>65597115.32</v>
      </c>
      <c r="G156" s="59">
        <v>2319286.71</v>
      </c>
      <c r="I156" s="65">
        <v>588426.56000000006</v>
      </c>
      <c r="J156" s="80">
        <f t="shared" si="9"/>
        <v>95.659999996423721</v>
      </c>
      <c r="M156" s="80">
        <f t="shared" si="10"/>
        <v>6293325.6600000001</v>
      </c>
      <c r="N156" s="80">
        <f t="shared" si="11"/>
        <v>5769588.0791350286</v>
      </c>
      <c r="P156" s="80">
        <v>5769588.0791350286</v>
      </c>
    </row>
    <row r="157" spans="1:16" ht="24" x14ac:dyDescent="0.25">
      <c r="A157" s="67" t="s">
        <v>188</v>
      </c>
      <c r="B157" s="77">
        <v>106035682.90000001</v>
      </c>
      <c r="E157" s="72">
        <v>106035672.90000001</v>
      </c>
      <c r="F157" s="59">
        <v>78970964.900000006</v>
      </c>
      <c r="G157" s="59">
        <v>3243329.7</v>
      </c>
      <c r="I157" s="65">
        <v>832408.3</v>
      </c>
      <c r="J157" s="80">
        <f t="shared" si="9"/>
        <v>-10</v>
      </c>
      <c r="M157" s="80">
        <f t="shared" si="10"/>
        <v>22988970</v>
      </c>
      <c r="N157" s="80">
        <f t="shared" si="11"/>
        <v>21075802.275198452</v>
      </c>
      <c r="P157" s="80">
        <v>21075802.275198452</v>
      </c>
    </row>
    <row r="158" spans="1:16" ht="24" x14ac:dyDescent="0.25">
      <c r="A158" s="67" t="s">
        <v>189</v>
      </c>
      <c r="B158" s="77">
        <v>64641138.060000002</v>
      </c>
      <c r="E158" s="72">
        <v>64641098.060000002</v>
      </c>
      <c r="F158" s="59">
        <v>57211245.810000002</v>
      </c>
      <c r="G158" s="59">
        <v>1507434.37</v>
      </c>
      <c r="I158" s="65">
        <v>444907.88</v>
      </c>
      <c r="J158" s="80">
        <f t="shared" si="9"/>
        <v>-40</v>
      </c>
      <c r="M158" s="80">
        <f t="shared" si="10"/>
        <v>5477510</v>
      </c>
      <c r="N158" s="80">
        <f t="shared" si="11"/>
        <v>5021665.508303429</v>
      </c>
      <c r="P158" s="80">
        <v>5021665.508303429</v>
      </c>
    </row>
    <row r="159" spans="1:16" ht="24" x14ac:dyDescent="0.25">
      <c r="A159" s="67" t="s">
        <v>235</v>
      </c>
      <c r="B159" s="77">
        <v>116300699.41</v>
      </c>
      <c r="E159" s="72">
        <v>116300679.40000001</v>
      </c>
      <c r="F159" s="59">
        <v>100095428.83</v>
      </c>
      <c r="G159" s="59">
        <v>2335605.35</v>
      </c>
      <c r="I159" s="65">
        <v>731945.23</v>
      </c>
      <c r="J159" s="80">
        <f t="shared" si="9"/>
        <v>-20.009999990463257</v>
      </c>
      <c r="M159" s="80">
        <f t="shared" si="10"/>
        <v>13137699.990000008</v>
      </c>
      <c r="N159" s="80">
        <f t="shared" si="11"/>
        <v>12044365.943324856</v>
      </c>
      <c r="P159" s="80">
        <v>12044365.943324856</v>
      </c>
    </row>
    <row r="160" spans="1:16" ht="36" x14ac:dyDescent="0.25">
      <c r="A160" s="67" t="s">
        <v>192</v>
      </c>
      <c r="B160" s="77">
        <v>38777329.960000001</v>
      </c>
      <c r="E160" s="72">
        <v>38777359.960000001</v>
      </c>
      <c r="F160" s="59">
        <v>33108245.170000002</v>
      </c>
      <c r="G160" s="59">
        <v>705781.18</v>
      </c>
      <c r="I160" s="65">
        <v>258333.61</v>
      </c>
      <c r="J160" s="80">
        <f t="shared" si="9"/>
        <v>30</v>
      </c>
      <c r="M160" s="80">
        <f t="shared" si="10"/>
        <v>4704999.9999999991</v>
      </c>
      <c r="N160" s="80">
        <f t="shared" si="11"/>
        <v>4313444.6521444283</v>
      </c>
      <c r="P160" s="80">
        <v>4313444.6521444283</v>
      </c>
    </row>
    <row r="161" spans="1:16" ht="24" x14ac:dyDescent="0.25">
      <c r="A161" s="67" t="s">
        <v>179</v>
      </c>
      <c r="B161" s="77">
        <v>37787740.009999998</v>
      </c>
      <c r="E161" s="72">
        <v>37787740.009999998</v>
      </c>
      <c r="F161" s="59">
        <v>31183154.640000001</v>
      </c>
      <c r="G161" s="59">
        <v>1148424.29</v>
      </c>
      <c r="I161" s="65">
        <v>315741.08</v>
      </c>
      <c r="J161" s="80">
        <f t="shared" si="9"/>
        <v>0</v>
      </c>
      <c r="M161" s="80">
        <f t="shared" si="10"/>
        <v>5140419.9999999972</v>
      </c>
      <c r="N161" s="80">
        <f t="shared" si="11"/>
        <v>4712628.5140863452</v>
      </c>
      <c r="P161" s="80">
        <v>4712628.5140863452</v>
      </c>
    </row>
    <row r="162" spans="1:16" ht="24" x14ac:dyDescent="0.25">
      <c r="A162" s="67" t="s">
        <v>46</v>
      </c>
      <c r="B162" s="77">
        <v>94211123.939999998</v>
      </c>
      <c r="E162" s="72">
        <v>94211113.939999998</v>
      </c>
      <c r="F162" s="59">
        <v>73862997.290000007</v>
      </c>
      <c r="G162" s="59">
        <v>3147457.69</v>
      </c>
      <c r="I162" s="65">
        <v>760648.96</v>
      </c>
      <c r="J162" s="96">
        <f t="shared" si="9"/>
        <v>-10</v>
      </c>
      <c r="M162" s="80">
        <f t="shared" si="10"/>
        <v>16440009.999999989</v>
      </c>
      <c r="N162" s="80">
        <f t="shared" si="11"/>
        <v>15071854.030967245</v>
      </c>
      <c r="P162" s="80">
        <v>15071854.030967245</v>
      </c>
    </row>
    <row r="163" spans="1:16" ht="24" x14ac:dyDescent="0.25">
      <c r="A163" s="67" t="s">
        <v>180</v>
      </c>
      <c r="B163" s="77">
        <v>51707269.409999996</v>
      </c>
      <c r="E163" s="72">
        <v>51707219.409999996</v>
      </c>
      <c r="F163" s="59">
        <v>43306875.259999998</v>
      </c>
      <c r="G163" s="59">
        <v>2143861.33</v>
      </c>
      <c r="I163" s="65">
        <v>559722.81999999995</v>
      </c>
      <c r="J163" s="95">
        <f t="shared" si="9"/>
        <v>-50</v>
      </c>
      <c r="M163" s="80">
        <f t="shared" si="10"/>
        <v>5696759.9999999981</v>
      </c>
      <c r="N163" s="80">
        <f t="shared" si="11"/>
        <v>5222669.2787567042</v>
      </c>
      <c r="P163" s="80">
        <v>5222669.2787567042</v>
      </c>
    </row>
    <row r="164" spans="1:16" ht="24" x14ac:dyDescent="0.25">
      <c r="A164" s="67" t="s">
        <v>48</v>
      </c>
      <c r="B164" s="77">
        <v>81531126.719999999</v>
      </c>
      <c r="E164" s="72">
        <v>81531096.719999999</v>
      </c>
      <c r="F164" s="59">
        <v>71737595.859999999</v>
      </c>
      <c r="G164" s="59">
        <v>2468194.2999999998</v>
      </c>
      <c r="I164" s="65">
        <v>588426.56000000006</v>
      </c>
      <c r="J164" s="80">
        <f t="shared" si="9"/>
        <v>-30</v>
      </c>
      <c r="M164" s="80">
        <f t="shared" si="10"/>
        <v>6736880</v>
      </c>
      <c r="N164" s="80">
        <f t="shared" si="11"/>
        <v>6176229.3322292799</v>
      </c>
      <c r="P164" s="80">
        <v>6176229.3322292799</v>
      </c>
    </row>
    <row r="165" spans="1:16" ht="24" x14ac:dyDescent="0.25">
      <c r="A165" s="67" t="s">
        <v>41</v>
      </c>
      <c r="B165" s="77">
        <v>82965580.099999979</v>
      </c>
      <c r="E165" s="72">
        <v>82965590.099999994</v>
      </c>
      <c r="F165" s="59">
        <v>68936856.819999993</v>
      </c>
      <c r="G165" s="59">
        <v>3067904.32</v>
      </c>
      <c r="I165" s="65">
        <v>760648.96</v>
      </c>
      <c r="J165" s="96">
        <f t="shared" si="9"/>
        <v>10.000000014901161</v>
      </c>
      <c r="M165" s="80">
        <f t="shared" si="10"/>
        <v>10200180</v>
      </c>
      <c r="N165" s="80">
        <f t="shared" si="11"/>
        <v>9351309.6433391217</v>
      </c>
      <c r="P165" s="80">
        <v>9351309.6433391217</v>
      </c>
    </row>
    <row r="166" spans="1:16" ht="24" x14ac:dyDescent="0.25">
      <c r="A166" s="67" t="s">
        <v>184</v>
      </c>
      <c r="B166" s="77">
        <v>24591961.390000001</v>
      </c>
      <c r="E166" s="72">
        <v>25315776.07</v>
      </c>
      <c r="F166" s="59">
        <v>20596106.59</v>
      </c>
      <c r="G166" s="59">
        <v>638466.79</v>
      </c>
      <c r="I166" s="65">
        <v>215278.01</v>
      </c>
      <c r="J166" s="80">
        <f t="shared" si="9"/>
        <v>723814.6799999997</v>
      </c>
      <c r="M166" s="80">
        <f t="shared" si="10"/>
        <v>3865924.6800000006</v>
      </c>
      <c r="N166" s="80">
        <f t="shared" si="11"/>
        <v>3544198.116161353</v>
      </c>
      <c r="P166" s="80">
        <v>3544198.116161353</v>
      </c>
    </row>
    <row r="167" spans="1:16" ht="24" x14ac:dyDescent="0.25">
      <c r="A167" s="67" t="s">
        <v>19</v>
      </c>
      <c r="B167" s="77">
        <v>44423659.020000003</v>
      </c>
      <c r="E167" s="72">
        <v>44534213.200000003</v>
      </c>
      <c r="F167" s="59">
        <v>37443803.789999999</v>
      </c>
      <c r="G167" s="59">
        <v>985237.89</v>
      </c>
      <c r="H167" s="72">
        <v>830000</v>
      </c>
      <c r="I167" s="65">
        <v>287037.34000000003</v>
      </c>
      <c r="J167" s="80">
        <f t="shared" si="9"/>
        <v>110554.1799999997</v>
      </c>
      <c r="M167" s="80">
        <f t="shared" si="10"/>
        <v>4988134.1800000044</v>
      </c>
      <c r="N167" s="80">
        <f t="shared" si="11"/>
        <v>4573016.0898830723</v>
      </c>
      <c r="P167" s="80">
        <v>4573016.0898830723</v>
      </c>
    </row>
    <row r="168" spans="1:16" ht="24" x14ac:dyDescent="0.25">
      <c r="A168" s="67" t="s">
        <v>42</v>
      </c>
      <c r="B168" s="77">
        <v>21962830.690000001</v>
      </c>
      <c r="E168" s="72">
        <v>21962840.68</v>
      </c>
      <c r="F168" s="59">
        <v>18696532.510000002</v>
      </c>
      <c r="G168" s="59">
        <v>628267.64</v>
      </c>
      <c r="I168" s="65">
        <v>157870.54</v>
      </c>
      <c r="J168" s="94">
        <f t="shared" si="9"/>
        <v>9.9899999983608723</v>
      </c>
      <c r="M168" s="80">
        <f t="shared" si="10"/>
        <v>2480169.9899999979</v>
      </c>
      <c r="N168" s="80">
        <f t="shared" si="11"/>
        <v>2273767.477104058</v>
      </c>
      <c r="P168" s="80">
        <v>2273767.477104058</v>
      </c>
    </row>
    <row r="169" spans="1:16" ht="24" x14ac:dyDescent="0.25">
      <c r="A169" s="67" t="s">
        <v>190</v>
      </c>
      <c r="B169" s="77">
        <v>42787056.039999999</v>
      </c>
      <c r="E169" s="72">
        <v>42787106.039999999</v>
      </c>
      <c r="F169" s="59">
        <v>35668406.289999999</v>
      </c>
      <c r="G169" s="59">
        <v>1283053.07</v>
      </c>
      <c r="I169" s="65">
        <v>358796.68</v>
      </c>
      <c r="J169" s="80">
        <f t="shared" si="9"/>
        <v>50</v>
      </c>
      <c r="M169" s="80">
        <f t="shared" si="10"/>
        <v>5476850</v>
      </c>
      <c r="N169" s="80">
        <f t="shared" si="11"/>
        <v>5021060.4342395784</v>
      </c>
      <c r="P169" s="80">
        <v>5021060.4342395784</v>
      </c>
    </row>
    <row r="170" spans="1:16" ht="24" x14ac:dyDescent="0.25">
      <c r="A170" s="67" t="s">
        <v>45</v>
      </c>
      <c r="B170" s="77">
        <v>35557732.280000001</v>
      </c>
      <c r="E170" s="72">
        <v>35164895.420000002</v>
      </c>
      <c r="F170" s="59">
        <v>29724158.379999999</v>
      </c>
      <c r="G170" s="59">
        <v>881206.56</v>
      </c>
      <c r="I170" s="65">
        <v>287037.34000000003</v>
      </c>
      <c r="J170" s="95">
        <f t="shared" si="9"/>
        <v>-392836.8599999994</v>
      </c>
      <c r="M170" s="80">
        <f t="shared" si="10"/>
        <v>4272493.1400000025</v>
      </c>
      <c r="N170" s="80">
        <f t="shared" si="11"/>
        <v>3916931.4954424594</v>
      </c>
      <c r="P170" s="80">
        <v>3916931.4954424594</v>
      </c>
    </row>
    <row r="171" spans="1:16" ht="24" x14ac:dyDescent="0.25">
      <c r="A171" s="67" t="s">
        <v>191</v>
      </c>
      <c r="B171" s="77">
        <v>37559354.109999999</v>
      </c>
      <c r="E171" s="72">
        <v>37559374.109999999</v>
      </c>
      <c r="F171" s="59">
        <v>32185895.510000002</v>
      </c>
      <c r="G171" s="59">
        <v>1109667.52</v>
      </c>
      <c r="I171" s="65">
        <v>315741.08</v>
      </c>
      <c r="J171" s="80">
        <f t="shared" si="9"/>
        <v>20</v>
      </c>
      <c r="M171" s="80">
        <f t="shared" si="10"/>
        <v>3948069.9999999981</v>
      </c>
      <c r="N171" s="80">
        <f t="shared" si="11"/>
        <v>3619507.2110078321</v>
      </c>
      <c r="P171" s="80">
        <v>3619507.2110078321</v>
      </c>
    </row>
    <row r="172" spans="1:16" ht="24" x14ac:dyDescent="0.25">
      <c r="A172" s="67" t="s">
        <v>237</v>
      </c>
      <c r="B172" s="77">
        <v>32721897.650000002</v>
      </c>
      <c r="E172" s="72">
        <v>32721917.649999999</v>
      </c>
      <c r="F172" s="59">
        <v>28175863.260000002</v>
      </c>
      <c r="G172" s="59">
        <v>972998.91</v>
      </c>
      <c r="I172" s="65">
        <v>272685.48</v>
      </c>
      <c r="J172" s="80">
        <f t="shared" si="9"/>
        <v>19.99999999627471</v>
      </c>
      <c r="M172" s="80">
        <f t="shared" si="10"/>
        <v>3300369.9999999967</v>
      </c>
      <c r="N172" s="80">
        <f t="shared" si="11"/>
        <v>3025709.5274384478</v>
      </c>
      <c r="P172" s="80">
        <v>3025709.5274384478</v>
      </c>
    </row>
    <row r="173" spans="1:16" ht="24" x14ac:dyDescent="0.25">
      <c r="A173" s="67" t="s">
        <v>238</v>
      </c>
      <c r="B173" s="77">
        <v>20694011.66</v>
      </c>
      <c r="E173" s="72">
        <v>20693971.649999999</v>
      </c>
      <c r="F173" s="59">
        <v>16660435.15</v>
      </c>
      <c r="G173" s="59">
        <v>528315.97</v>
      </c>
      <c r="I173" s="65">
        <v>157870.54</v>
      </c>
      <c r="J173" s="80">
        <f t="shared" si="9"/>
        <v>-40.010000001639128</v>
      </c>
      <c r="M173" s="80">
        <f t="shared" si="10"/>
        <v>3347349.9899999984</v>
      </c>
      <c r="N173" s="80">
        <f t="shared" si="11"/>
        <v>3068779.7902701809</v>
      </c>
      <c r="P173" s="80">
        <v>3068779.7902701809</v>
      </c>
    </row>
    <row r="174" spans="1:16" ht="24" x14ac:dyDescent="0.25">
      <c r="A174" s="67" t="s">
        <v>21</v>
      </c>
      <c r="B174" s="77">
        <v>43519520.760000005</v>
      </c>
      <c r="E174" s="72">
        <v>43533910.759999998</v>
      </c>
      <c r="F174" s="59">
        <v>38441466.32</v>
      </c>
      <c r="G174" s="59">
        <v>822051.49</v>
      </c>
      <c r="I174" s="65">
        <v>330092.95</v>
      </c>
      <c r="J174" s="80">
        <f t="shared" si="9"/>
        <v>14389.999999992549</v>
      </c>
      <c r="M174" s="80">
        <f t="shared" si="10"/>
        <v>3940299.9999999972</v>
      </c>
      <c r="N174" s="80">
        <f t="shared" si="11"/>
        <v>3612383.8390743216</v>
      </c>
      <c r="P174" s="80">
        <v>3612383.8390743216</v>
      </c>
    </row>
    <row r="175" spans="1:16" ht="24" x14ac:dyDescent="0.25">
      <c r="A175" s="67" t="s">
        <v>35</v>
      </c>
      <c r="B175" s="77">
        <v>44622052.640000001</v>
      </c>
      <c r="E175" s="72">
        <v>44711269.240000002</v>
      </c>
      <c r="F175" s="59">
        <v>39578753.5</v>
      </c>
      <c r="G175" s="59">
        <v>1005636.19</v>
      </c>
      <c r="I175" s="65">
        <v>330092.95</v>
      </c>
      <c r="J175" s="80">
        <f t="shared" si="9"/>
        <v>89216.60000000149</v>
      </c>
      <c r="M175" s="80">
        <f t="shared" si="10"/>
        <v>3796786.600000002</v>
      </c>
      <c r="N175" s="80">
        <f t="shared" si="11"/>
        <v>3480813.7842940786</v>
      </c>
      <c r="P175" s="80">
        <v>3480813.7842940786</v>
      </c>
    </row>
    <row r="176" spans="1:16" ht="24" x14ac:dyDescent="0.25">
      <c r="A176" s="67" t="s">
        <v>50</v>
      </c>
      <c r="B176" s="77">
        <v>42199972.370000005</v>
      </c>
      <c r="E176" s="72">
        <v>42200046.240000002</v>
      </c>
      <c r="F176" s="59">
        <v>36104427.719999999</v>
      </c>
      <c r="G176" s="59">
        <v>705781.18</v>
      </c>
      <c r="I176" s="65">
        <v>287037.34000000003</v>
      </c>
      <c r="J176" s="80">
        <f t="shared" si="9"/>
        <v>73.869999997317791</v>
      </c>
      <c r="M176" s="80">
        <f t="shared" si="10"/>
        <v>5102800.0000000037</v>
      </c>
      <c r="N176" s="80">
        <f t="shared" si="11"/>
        <v>4678139.2924468881</v>
      </c>
      <c r="P176" s="80">
        <v>4678139.2924468881</v>
      </c>
    </row>
    <row r="177" spans="1:16" ht="24" x14ac:dyDescent="0.25">
      <c r="A177" s="67" t="s">
        <v>183</v>
      </c>
      <c r="B177" s="77">
        <v>52984992.009999998</v>
      </c>
      <c r="E177" s="72">
        <v>53278140.420000002</v>
      </c>
      <c r="F177" s="59">
        <v>45151035.460000001</v>
      </c>
      <c r="G177" s="59">
        <v>1223898</v>
      </c>
      <c r="I177" s="65">
        <v>373148.55</v>
      </c>
      <c r="J177" s="94">
        <f t="shared" si="9"/>
        <v>293148.41000000387</v>
      </c>
      <c r="M177" s="80">
        <f t="shared" si="10"/>
        <v>6530058.4100000011</v>
      </c>
      <c r="N177" s="80">
        <f t="shared" si="11"/>
        <v>5986619.6656334233</v>
      </c>
      <c r="P177" s="80">
        <v>5986619.6656334233</v>
      </c>
    </row>
    <row r="178" spans="1:16" ht="24" x14ac:dyDescent="0.25">
      <c r="A178" s="67" t="s">
        <v>36</v>
      </c>
      <c r="B178" s="77">
        <v>31383887.52</v>
      </c>
      <c r="E178" s="72">
        <v>31383837.510000002</v>
      </c>
      <c r="F178" s="59">
        <v>26459098.300000001</v>
      </c>
      <c r="G178" s="59">
        <v>607869.34</v>
      </c>
      <c r="I178" s="65">
        <v>229629.88</v>
      </c>
      <c r="J178" s="80">
        <f t="shared" si="9"/>
        <v>-50.009999997913837</v>
      </c>
      <c r="M178" s="80">
        <f t="shared" si="10"/>
        <v>4087239.9900000012</v>
      </c>
      <c r="N178" s="80">
        <f t="shared" si="11"/>
        <v>3747095.3192128278</v>
      </c>
      <c r="P178" s="80">
        <v>3747095.3192128278</v>
      </c>
    </row>
    <row r="179" spans="1:16" ht="24" x14ac:dyDescent="0.25">
      <c r="A179" s="67" t="s">
        <v>194</v>
      </c>
      <c r="B179" s="77">
        <v>23959072.539999999</v>
      </c>
      <c r="E179" s="72">
        <v>23959072.530000001</v>
      </c>
      <c r="F179" s="59">
        <v>19776127.870000001</v>
      </c>
      <c r="G179" s="59">
        <v>430404.13</v>
      </c>
      <c r="I179" s="65">
        <v>157870.54</v>
      </c>
      <c r="J179" s="80">
        <f t="shared" si="9"/>
        <v>-9.9999979138374329E-3</v>
      </c>
      <c r="M179" s="80">
        <f t="shared" si="10"/>
        <v>3594669.99</v>
      </c>
      <c r="N179" s="80">
        <f t="shared" si="11"/>
        <v>3295517.5440147864</v>
      </c>
      <c r="P179" s="80">
        <v>3295517.5440147864</v>
      </c>
    </row>
    <row r="180" spans="1:16" ht="24" x14ac:dyDescent="0.25">
      <c r="A180" s="67" t="s">
        <v>25</v>
      </c>
      <c r="B180" s="77">
        <v>34531286.799999997</v>
      </c>
      <c r="E180" s="72">
        <v>34531246.799999997</v>
      </c>
      <c r="F180" s="59">
        <v>29690175.079999998</v>
      </c>
      <c r="G180" s="59">
        <v>787374.38</v>
      </c>
      <c r="I180" s="65">
        <v>287037.34000000003</v>
      </c>
      <c r="J180" s="80">
        <f t="shared" si="9"/>
        <v>-40</v>
      </c>
      <c r="M180" s="80">
        <f t="shared" si="10"/>
        <v>3766659.9999999991</v>
      </c>
      <c r="N180" s="80">
        <f t="shared" si="11"/>
        <v>3453194.3535486362</v>
      </c>
      <c r="P180" s="80">
        <v>3453194.3535486362</v>
      </c>
    </row>
    <row r="181" spans="1:16" ht="24" x14ac:dyDescent="0.25">
      <c r="A181" s="67" t="s">
        <v>22</v>
      </c>
      <c r="B181" s="77">
        <v>35219269.759999998</v>
      </c>
      <c r="E181" s="72">
        <v>35219239.759999998</v>
      </c>
      <c r="F181" s="59">
        <v>29355135.34</v>
      </c>
      <c r="G181" s="59">
        <v>830210.81</v>
      </c>
      <c r="I181" s="65">
        <v>258333.61</v>
      </c>
      <c r="J181" s="80">
        <f t="shared" si="9"/>
        <v>-30</v>
      </c>
      <c r="M181" s="80">
        <f t="shared" si="10"/>
        <v>4775559.9999999972</v>
      </c>
      <c r="N181" s="80">
        <f t="shared" si="11"/>
        <v>4378132.5702433232</v>
      </c>
      <c r="P181" s="80">
        <v>4378132.5702433232</v>
      </c>
    </row>
    <row r="182" spans="1:16" ht="24" x14ac:dyDescent="0.25">
      <c r="A182" s="67" t="s">
        <v>37</v>
      </c>
      <c r="B182" s="77">
        <v>44662376.479999997</v>
      </c>
      <c r="E182" s="72">
        <v>44573129.880000003</v>
      </c>
      <c r="F182" s="59">
        <v>38567870.399999999</v>
      </c>
      <c r="G182" s="59">
        <v>1019915</v>
      </c>
      <c r="I182" s="65">
        <v>315741.08</v>
      </c>
      <c r="J182" s="80">
        <f t="shared" si="9"/>
        <v>-89246.59999999404</v>
      </c>
      <c r="M182" s="80">
        <f t="shared" si="10"/>
        <v>4669603.4000000041</v>
      </c>
      <c r="N182" s="80">
        <f t="shared" si="11"/>
        <v>4280993.7966770371</v>
      </c>
      <c r="P182" s="80">
        <v>4280993.7966770371</v>
      </c>
    </row>
    <row r="183" spans="1:16" ht="24" x14ac:dyDescent="0.25">
      <c r="A183" s="67" t="s">
        <v>187</v>
      </c>
      <c r="B183" s="77">
        <v>63381315.410000004</v>
      </c>
      <c r="E183" s="72">
        <v>63412265.399999999</v>
      </c>
      <c r="F183" s="59">
        <v>56772250.950000003</v>
      </c>
      <c r="G183" s="59">
        <v>1548230.97</v>
      </c>
      <c r="I183" s="65">
        <v>487963.49</v>
      </c>
      <c r="J183" s="80">
        <f t="shared" si="9"/>
        <v>30949.989999994636</v>
      </c>
      <c r="M183" s="80">
        <f t="shared" si="10"/>
        <v>4603819.9899999956</v>
      </c>
      <c r="N183" s="80">
        <f t="shared" si="11"/>
        <v>4220684.9554306269</v>
      </c>
      <c r="P183" s="80">
        <v>4220684.9554306269</v>
      </c>
    </row>
    <row r="184" spans="1:16" ht="24" x14ac:dyDescent="0.25">
      <c r="A184" s="67" t="s">
        <v>195</v>
      </c>
      <c r="B184" s="77">
        <v>85689535.739999995</v>
      </c>
      <c r="E184" s="72">
        <v>86082422.599999994</v>
      </c>
      <c r="F184" s="59">
        <v>77326703.670000002</v>
      </c>
      <c r="G184" s="59">
        <v>2400879.91</v>
      </c>
      <c r="I184" s="65">
        <v>631482.16</v>
      </c>
      <c r="J184" s="95">
        <f t="shared" si="9"/>
        <v>392886.8599999994</v>
      </c>
      <c r="M184" s="80">
        <f t="shared" si="10"/>
        <v>5723356.859999992</v>
      </c>
      <c r="N184" s="80">
        <f t="shared" si="11"/>
        <v>5247052.718401934</v>
      </c>
      <c r="P184" s="80">
        <v>5247052.718401934</v>
      </c>
    </row>
    <row r="185" spans="1:16" ht="24" x14ac:dyDescent="0.25">
      <c r="A185" s="67" t="s">
        <v>29</v>
      </c>
      <c r="B185" s="77">
        <v>45788730.280000009</v>
      </c>
      <c r="E185" s="72">
        <v>45753432.850000001</v>
      </c>
      <c r="F185" s="59">
        <v>39875925.560000002</v>
      </c>
      <c r="G185" s="59">
        <v>1058671.77</v>
      </c>
      <c r="I185" s="65">
        <v>330092.95</v>
      </c>
      <c r="J185" s="80">
        <f t="shared" si="9"/>
        <v>-35297.430000007153</v>
      </c>
      <c r="M185" s="80">
        <f t="shared" si="10"/>
        <v>4488742.5699999994</v>
      </c>
      <c r="N185" s="80">
        <f t="shared" si="11"/>
        <v>4115184.4066779041</v>
      </c>
      <c r="P185" s="80">
        <v>4115184.4066779041</v>
      </c>
    </row>
    <row r="186" spans="1:16" ht="24" x14ac:dyDescent="0.25">
      <c r="A186" s="67" t="s">
        <v>182</v>
      </c>
      <c r="B186" s="77">
        <v>53158518.009999998</v>
      </c>
      <c r="E186" s="72">
        <v>53158538.009999998</v>
      </c>
      <c r="F186" s="59">
        <v>44914615.340000004</v>
      </c>
      <c r="G186" s="59">
        <v>1150464.1200000001</v>
      </c>
      <c r="I186" s="65">
        <v>373148.55</v>
      </c>
      <c r="J186" s="80">
        <f t="shared" si="9"/>
        <v>20</v>
      </c>
      <c r="M186" s="80">
        <f t="shared" si="10"/>
        <v>6720309.9999999944</v>
      </c>
      <c r="N186" s="80">
        <f t="shared" si="11"/>
        <v>6161038.3061110955</v>
      </c>
      <c r="P186" s="80">
        <v>6161038.3061110955</v>
      </c>
    </row>
    <row r="187" spans="1:16" ht="24" x14ac:dyDescent="0.25">
      <c r="A187" s="67" t="s">
        <v>236</v>
      </c>
      <c r="B187" s="77">
        <v>105489319.78999999</v>
      </c>
      <c r="E187" s="72">
        <v>105196161.39</v>
      </c>
      <c r="F187" s="59">
        <v>86377157.909999996</v>
      </c>
      <c r="G187" s="59">
        <v>2515110.39</v>
      </c>
      <c r="I187" s="65">
        <v>703241.49</v>
      </c>
      <c r="J187" s="94">
        <f t="shared" si="9"/>
        <v>-293158.39999999106</v>
      </c>
      <c r="M187" s="80">
        <f t="shared" si="10"/>
        <v>15600651.600000003</v>
      </c>
      <c r="N187" s="80">
        <f t="shared" si="11"/>
        <v>14302347.973217523</v>
      </c>
      <c r="P187" s="80">
        <v>14302347.973217523</v>
      </c>
    </row>
    <row r="188" spans="1:16" ht="24" x14ac:dyDescent="0.25">
      <c r="A188" s="67" t="s">
        <v>181</v>
      </c>
      <c r="B188" s="77">
        <v>62630974.720000006</v>
      </c>
      <c r="E188" s="72">
        <v>62520350.039999999</v>
      </c>
      <c r="F188" s="59">
        <v>44299112.420000002</v>
      </c>
      <c r="G188" s="59">
        <v>2029630.85</v>
      </c>
      <c r="I188" s="65">
        <v>545370.94999999995</v>
      </c>
      <c r="J188" s="80">
        <f t="shared" si="9"/>
        <v>-110624.68000000715</v>
      </c>
      <c r="M188" s="80">
        <f t="shared" si="10"/>
        <v>15646235.819999998</v>
      </c>
      <c r="N188" s="80">
        <f t="shared" si="11"/>
        <v>14344138.623585463</v>
      </c>
      <c r="P188" s="80">
        <v>14344138.623585463</v>
      </c>
    </row>
    <row r="189" spans="1:16" ht="24" x14ac:dyDescent="0.25">
      <c r="A189" s="67" t="s">
        <v>53</v>
      </c>
      <c r="B189" s="77">
        <v>9068267.7300000004</v>
      </c>
      <c r="E189" s="72">
        <v>9636257.7200000007</v>
      </c>
      <c r="F189" s="59">
        <v>6862058.0999999996</v>
      </c>
      <c r="G189" s="59">
        <v>259058.41</v>
      </c>
      <c r="I189" s="65">
        <v>86111.22</v>
      </c>
      <c r="J189" s="80">
        <f t="shared" si="9"/>
        <v>567989.99000000022</v>
      </c>
      <c r="M189" s="80">
        <f t="shared" si="10"/>
        <v>2429029.9900000007</v>
      </c>
      <c r="N189" s="80">
        <f t="shared" si="11"/>
        <v>2226883.4049445144</v>
      </c>
      <c r="P189" s="80">
        <v>2226883.4049445144</v>
      </c>
    </row>
    <row r="190" spans="1:16" x14ac:dyDescent="0.25">
      <c r="A190" s="60"/>
      <c r="B190" s="77">
        <f>SUM(B141:B189)</f>
        <v>2503038016.6300006</v>
      </c>
      <c r="E190" s="72">
        <f>SUM(E141:E189)</f>
        <v>2503038016.6300001</v>
      </c>
      <c r="F190" s="72">
        <f t="shared" ref="F190" si="12">SUM(F141:F189)</f>
        <v>2070432999.9999998</v>
      </c>
      <c r="G190" s="72">
        <f>SUM(G141:G189)</f>
        <v>58435000.000000022</v>
      </c>
      <c r="H190" s="72">
        <f t="shared" ref="H190:M190" si="13">SUM(H141:H189)</f>
        <v>830000</v>
      </c>
      <c r="I190" s="72">
        <f t="shared" si="13"/>
        <v>17293999.999999996</v>
      </c>
      <c r="J190" s="72">
        <f t="shared" si="13"/>
        <v>4.0978193283081055E-8</v>
      </c>
      <c r="K190" s="72">
        <f t="shared" si="13"/>
        <v>0</v>
      </c>
      <c r="L190" s="72">
        <f t="shared" si="13"/>
        <v>0</v>
      </c>
      <c r="M190" s="72">
        <f t="shared" si="13"/>
        <v>356046016.63000017</v>
      </c>
      <c r="N190" s="80">
        <f>M192-I190-H190-G190-F190</f>
        <v>326415470.00000024</v>
      </c>
    </row>
    <row r="191" spans="1:16" x14ac:dyDescent="0.25">
      <c r="A191" s="60"/>
      <c r="B191" s="77"/>
    </row>
    <row r="192" spans="1:16" ht="24" x14ac:dyDescent="0.25">
      <c r="A192" s="67" t="s">
        <v>198</v>
      </c>
      <c r="B192" s="77"/>
      <c r="E192" s="72">
        <v>25940070</v>
      </c>
      <c r="M192" s="80">
        <v>2473407470</v>
      </c>
    </row>
    <row r="193" spans="1:5" ht="24" x14ac:dyDescent="0.25">
      <c r="A193" s="67" t="s">
        <v>199</v>
      </c>
      <c r="B193" s="77"/>
      <c r="E193" s="72">
        <v>31716184.329999998</v>
      </c>
    </row>
    <row r="194" spans="1:5" ht="24" x14ac:dyDescent="0.25">
      <c r="A194" s="67" t="s">
        <v>200</v>
      </c>
      <c r="B194" s="77"/>
      <c r="E194" s="72">
        <v>29331075.670000002</v>
      </c>
    </row>
    <row r="195" spans="1:5" ht="24" x14ac:dyDescent="0.25">
      <c r="A195" s="67" t="s">
        <v>201</v>
      </c>
      <c r="B195" s="77"/>
      <c r="E195" s="72">
        <v>21681710</v>
      </c>
    </row>
    <row r="196" spans="1:5" ht="24" x14ac:dyDescent="0.25">
      <c r="A196" s="67" t="s">
        <v>239</v>
      </c>
      <c r="B196" s="77"/>
      <c r="E196" s="72">
        <v>42265090</v>
      </c>
    </row>
    <row r="197" spans="1:5" ht="24" x14ac:dyDescent="0.25">
      <c r="A197" s="67" t="s">
        <v>202</v>
      </c>
      <c r="B197" s="77"/>
      <c r="E197" s="72">
        <v>22474200</v>
      </c>
    </row>
    <row r="198" spans="1:5" ht="24" x14ac:dyDescent="0.25">
      <c r="A198" s="67" t="s">
        <v>203</v>
      </c>
      <c r="B198" s="77"/>
      <c r="E198" s="72">
        <v>26057720</v>
      </c>
    </row>
    <row r="199" spans="1:5" ht="24" x14ac:dyDescent="0.25">
      <c r="A199" s="67" t="s">
        <v>204</v>
      </c>
      <c r="B199" s="77"/>
      <c r="E199" s="72">
        <v>20217550</v>
      </c>
    </row>
    <row r="200" spans="1:5" x14ac:dyDescent="0.25">
      <c r="A200" s="60"/>
      <c r="B200" s="77"/>
      <c r="E200" s="72">
        <f>SUM(E192:E199)</f>
        <v>219683600</v>
      </c>
    </row>
    <row r="201" spans="1:5" x14ac:dyDescent="0.25">
      <c r="A201" s="60"/>
      <c r="B201" s="77"/>
      <c r="E201" s="72">
        <v>219683600</v>
      </c>
    </row>
    <row r="202" spans="1:5" ht="24" x14ac:dyDescent="0.25">
      <c r="A202" s="67" t="s">
        <v>206</v>
      </c>
      <c r="B202" s="77"/>
      <c r="E202" s="72">
        <f>E201-E200</f>
        <v>0</v>
      </c>
    </row>
    <row r="203" spans="1:5" x14ac:dyDescent="0.25">
      <c r="A203" s="60"/>
      <c r="B203" s="77"/>
    </row>
    <row r="204" spans="1:5" ht="36" x14ac:dyDescent="0.25">
      <c r="A204" s="67" t="s">
        <v>205</v>
      </c>
      <c r="B204" s="77"/>
    </row>
    <row r="205" spans="1:5" x14ac:dyDescent="0.25">
      <c r="A205" s="60"/>
      <c r="B205" s="77"/>
    </row>
    <row r="206" spans="1:5" x14ac:dyDescent="0.25">
      <c r="A206" s="71"/>
      <c r="B206" s="72"/>
    </row>
    <row r="207" spans="1:5" x14ac:dyDescent="0.25">
      <c r="A207" s="63"/>
      <c r="B207" s="78"/>
    </row>
    <row r="208" spans="1:5" x14ac:dyDescent="0.25">
      <c r="A208" s="63"/>
      <c r="B208" s="78"/>
    </row>
    <row r="209" spans="1:2" x14ac:dyDescent="0.25">
      <c r="A209" s="63"/>
      <c r="B209" s="78"/>
    </row>
    <row r="210" spans="1:2" x14ac:dyDescent="0.25">
      <c r="A210" s="63"/>
      <c r="B210" s="78"/>
    </row>
    <row r="211" spans="1:2" x14ac:dyDescent="0.25">
      <c r="A211" s="63"/>
      <c r="B211" s="78"/>
    </row>
    <row r="212" spans="1:2" x14ac:dyDescent="0.25">
      <c r="A212" s="63"/>
      <c r="B212" s="78"/>
    </row>
    <row r="213" spans="1:2" x14ac:dyDescent="0.25">
      <c r="A213" s="63"/>
      <c r="B213" s="78"/>
    </row>
    <row r="214" spans="1:2" x14ac:dyDescent="0.25">
      <c r="A214" s="63"/>
      <c r="B214" s="78"/>
    </row>
    <row r="215" spans="1:2" x14ac:dyDescent="0.25">
      <c r="A215" s="63"/>
      <c r="B215" s="78"/>
    </row>
    <row r="216" spans="1:2" x14ac:dyDescent="0.25">
      <c r="A216" s="63"/>
      <c r="B216" s="78"/>
    </row>
    <row r="217" spans="1:2" x14ac:dyDescent="0.25">
      <c r="A217" s="63"/>
      <c r="B217" s="78"/>
    </row>
    <row r="218" spans="1:2" x14ac:dyDescent="0.25">
      <c r="A218" s="63"/>
      <c r="B218" s="78"/>
    </row>
    <row r="219" spans="1:2" x14ac:dyDescent="0.25">
      <c r="A219" s="63"/>
      <c r="B219" s="78"/>
    </row>
    <row r="220" spans="1:2" x14ac:dyDescent="0.25">
      <c r="A220" s="63"/>
      <c r="B220" s="78"/>
    </row>
    <row r="222" spans="1:2" x14ac:dyDescent="0.25">
      <c r="A222" s="64"/>
      <c r="B222" s="79"/>
    </row>
    <row r="223" spans="1:2" x14ac:dyDescent="0.25">
      <c r="A223" s="63"/>
      <c r="B223" s="7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Лист1</vt:lpstr>
      <vt:lpstr>Лист3</vt:lpstr>
      <vt:lpstr>Лист2</vt:lpstr>
      <vt:lpstr>Лист4</vt:lpstr>
      <vt:lpstr>Лист5</vt:lpstr>
      <vt:lpstr>Лист1!Область_печати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</dc:creator>
  <cp:lastModifiedBy>P11U02</cp:lastModifiedBy>
  <cp:lastPrinted>2019-03-04T10:03:08Z</cp:lastPrinted>
  <dcterms:created xsi:type="dcterms:W3CDTF">2014-01-19T12:45:19Z</dcterms:created>
  <dcterms:modified xsi:type="dcterms:W3CDTF">2019-03-29T06:23:33Z</dcterms:modified>
</cp:coreProperties>
</file>