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2021" sheetId="7" r:id="rId1"/>
    <sheet name="2022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" l="1"/>
  <c r="I22" i="8" l="1"/>
  <c r="G22" i="8"/>
  <c r="E22" i="8"/>
  <c r="O22" i="8" s="1"/>
  <c r="D22" i="8" s="1"/>
  <c r="I21" i="8"/>
  <c r="G21" i="8"/>
  <c r="F21" i="8"/>
  <c r="E21" i="8"/>
  <c r="O21" i="8" s="1"/>
  <c r="D21" i="8" s="1"/>
  <c r="I20" i="8"/>
  <c r="G20" i="8"/>
  <c r="E20" i="8"/>
  <c r="O20" i="8" s="1"/>
  <c r="D20" i="8" s="1"/>
  <c r="I19" i="8"/>
  <c r="G19" i="8"/>
  <c r="F19" i="8"/>
  <c r="E19" i="8"/>
  <c r="O19" i="8" s="1"/>
  <c r="D19" i="8" s="1"/>
  <c r="O18" i="8"/>
  <c r="D18" i="8" s="1"/>
  <c r="I18" i="8"/>
  <c r="G18" i="8"/>
  <c r="E18" i="8"/>
  <c r="I17" i="8"/>
  <c r="G17" i="8"/>
  <c r="F17" i="8"/>
  <c r="E17" i="8"/>
  <c r="O17" i="8" s="1"/>
  <c r="I16" i="8"/>
  <c r="G16" i="8"/>
  <c r="E16" i="8"/>
  <c r="O16" i="8" s="1"/>
  <c r="D16" i="8" s="1"/>
  <c r="I15" i="8"/>
  <c r="G15" i="8"/>
  <c r="F15" i="8"/>
  <c r="F23" i="8" s="1"/>
  <c r="E15" i="8"/>
  <c r="O15" i="8" s="1"/>
  <c r="D15" i="8" s="1"/>
  <c r="I14" i="8"/>
  <c r="G14" i="8"/>
  <c r="E14" i="8"/>
  <c r="O14" i="8" s="1"/>
  <c r="I13" i="8"/>
  <c r="G13" i="8"/>
  <c r="F13" i="8"/>
  <c r="E13" i="8"/>
  <c r="O13" i="8" s="1"/>
  <c r="D13" i="8" s="1"/>
  <c r="I12" i="8"/>
  <c r="O12" i="8" s="1"/>
  <c r="D12" i="8" s="1"/>
  <c r="G12" i="8"/>
  <c r="E12" i="8"/>
  <c r="I11" i="8"/>
  <c r="G11" i="8"/>
  <c r="F11" i="8"/>
  <c r="E11" i="8"/>
  <c r="O11" i="8" s="1"/>
  <c r="D11" i="8" s="1"/>
  <c r="O10" i="8"/>
  <c r="D10" i="8" s="1"/>
  <c r="I10" i="8"/>
  <c r="G10" i="8"/>
  <c r="E10" i="8"/>
  <c r="I9" i="8"/>
  <c r="G9" i="8"/>
  <c r="F9" i="8"/>
  <c r="E9" i="8"/>
  <c r="O9" i="8" s="1"/>
  <c r="D9" i="8" s="1"/>
  <c r="I8" i="8"/>
  <c r="G8" i="8"/>
  <c r="E8" i="8"/>
  <c r="I7" i="8"/>
  <c r="O7" i="8" s="1"/>
  <c r="D7" i="8" s="1"/>
  <c r="G7" i="8"/>
  <c r="E7" i="8"/>
  <c r="I6" i="8"/>
  <c r="G6" i="8"/>
  <c r="E6" i="8"/>
  <c r="I5" i="8"/>
  <c r="G5" i="8"/>
  <c r="E5" i="8"/>
  <c r="N23" i="8"/>
  <c r="L23" i="8"/>
  <c r="K23" i="8"/>
  <c r="J23" i="8"/>
  <c r="H23" i="8"/>
  <c r="C23" i="8"/>
  <c r="D8" i="8"/>
  <c r="D5" i="8"/>
  <c r="E23" i="8" l="1"/>
  <c r="I23" i="8"/>
  <c r="G23" i="8"/>
  <c r="D6" i="7"/>
  <c r="D5" i="7"/>
  <c r="O23" i="8" l="1"/>
  <c r="G23" i="7"/>
  <c r="D7" i="7"/>
  <c r="D8" i="7"/>
  <c r="O9" i="7"/>
  <c r="D9" i="7" s="1"/>
  <c r="D10" i="7"/>
  <c r="O11" i="7"/>
  <c r="D11" i="7" s="1"/>
  <c r="O12" i="7"/>
  <c r="D12" i="7" s="1"/>
  <c r="O13" i="7"/>
  <c r="D13" i="7" s="1"/>
  <c r="O15" i="7"/>
  <c r="D15" i="7" s="1"/>
  <c r="O16" i="7"/>
  <c r="D16" i="7" s="1"/>
  <c r="O17" i="7"/>
  <c r="O18" i="7"/>
  <c r="D18" i="7" s="1"/>
  <c r="O19" i="7"/>
  <c r="D19" i="7" s="1"/>
  <c r="O20" i="7"/>
  <c r="D20" i="7" s="1"/>
  <c r="O21" i="7"/>
  <c r="D21" i="7" s="1"/>
  <c r="O22" i="7"/>
  <c r="D22" i="7" s="1"/>
  <c r="K23" i="7"/>
  <c r="I23" i="7"/>
  <c r="H23" i="7"/>
  <c r="C23" i="7"/>
  <c r="F23" i="7"/>
  <c r="L23" i="7"/>
  <c r="E23" i="7"/>
  <c r="N23" i="7"/>
  <c r="J23" i="7"/>
  <c r="O23" i="7" l="1"/>
  <c r="D6" i="8"/>
</calcChain>
</file>

<file path=xl/sharedStrings.xml><?xml version="1.0" encoding="utf-8"?>
<sst xmlns="http://schemas.openxmlformats.org/spreadsheetml/2006/main" count="75" uniqueCount="41">
  <si>
    <t xml:space="preserve">Наименование муниципальной услуги 
(выполняемой работы)
</t>
  </si>
  <si>
    <t>ИТОГО:</t>
  </si>
  <si>
    <t>Величина базового норматива затрат на единицу услуги, руб.</t>
  </si>
  <si>
    <t>Базовый норматив затрат, непосредственно связанный с оказанием муниципальной услуги</t>
  </si>
  <si>
    <t>№п/п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</si>
  <si>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</si>
  <si>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</si>
  <si>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</si>
  <si>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Базовый норматив затрат на общехозяйственные нужды</t>
  </si>
  <si>
    <t>затраты на коммунальные услуги (с разбивкой по видам затрат), руб.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</si>
  <si>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</si>
  <si>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приобретение услуг связи, руб.</t>
  </si>
  <si>
    <t>затраты на приобретение транспортных услуг,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</si>
  <si>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</si>
  <si>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</si>
  <si>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прочие затраты, влияющие на стоимость оказания муниципальной услуги (с разбивкой по видам затрат), руб.</t>
  </si>
  <si>
    <t>Объем муниципальных услуг (работ)</t>
  </si>
  <si>
    <t>Итого затраты, руб.</t>
  </si>
  <si>
    <t xml:space="preserve">Спортивная подготовка по неолимпийским видам спорта, кикбоксинг , этап начальной подготовки  </t>
  </si>
  <si>
    <t xml:space="preserve"> Спортивная подготовка по олимпийским видам спорта, Самбо, этап начальной подготовки  </t>
  </si>
  <si>
    <t xml:space="preserve">Спортивная подготовка по неолимпийским видам спорта, Танцевальный спорт, этап начальной подготовки  </t>
  </si>
  <si>
    <t xml:space="preserve">Спортивная подготовка по олимпийским видам спорта, Бокс, этап начальной подготовки  </t>
  </si>
  <si>
    <t xml:space="preserve">Спортивная подготовка по олимпийским видам спорта, Бокс, тренировочный  этап (спортивной специализации)  </t>
  </si>
  <si>
    <t xml:space="preserve">Спортивная подготовка по олимпийским видам спорта, Каратэ, этап начальной подготовки  </t>
  </si>
  <si>
    <t>Спортивная подготовка по олимпийским видам спорта, Каратэ, тренировочный  этап (спортивной специализации</t>
  </si>
  <si>
    <t xml:space="preserve">Спортивная подготовка по олимпийским видам спорта, Художественная гимнастика, этап начальной подготовки  </t>
  </si>
  <si>
    <t>Спортивная подготовка по олимпийским видам спорта, Художественная гимнастика, тренировочный  этап (спортивной специализации</t>
  </si>
  <si>
    <t xml:space="preserve">Спортивная подготовка по олимпийским видам спорта, Лыжные гонки, этап начальной подготовки  </t>
  </si>
  <si>
    <t xml:space="preserve">Спортивная подготовка по олимпийским видам спорта, Лыжные гонки, тренировочный  этап (спортивной специализации)  </t>
  </si>
  <si>
    <t xml:space="preserve">Спортивная подготовка по неолимпийским видам спорта, Палиатлон, этап начальной подготовки  </t>
  </si>
  <si>
    <t xml:space="preserve">Спортивная подготовка по неолимпийским видам спорта, Палиатлон, тренировочный  этап (спортивной специализации)  </t>
  </si>
  <si>
    <t xml:space="preserve">Спортивная подготовка по олимпийским видам спорта, Биатлон, этап начальной подготовки  </t>
  </si>
  <si>
    <t xml:space="preserve">Спортивная подготовка по неолимпийским видам спорта, Киокусинкай, этап начальной подготовки  </t>
  </si>
  <si>
    <t>Организация спортивной подготовки на спортивно-оздоровительном этапе</t>
  </si>
  <si>
    <t>Расчет базовых нормативов затрат на 2021 год на оказание муниципальных услуг (выполнение работ) муниципального бюджетного учреждения  "Спортивная школа "Островецкая"</t>
  </si>
  <si>
    <t>Спортивная подготовка по олимпийским видам спорта, Биатлон, тренировочный  этап (спортивной специализации)</t>
  </si>
  <si>
    <t>Спортивная подготовка по неолимпийским видам спорта, Киокусинкай, тренировочный  этап (спортивной специализации)</t>
  </si>
  <si>
    <t xml:space="preserve">Расчет базовых нормативов затрат на 2022 год на оказание муниципальных услуг (выполнение работ) муниципального бюджетного учреждения  "Спортивная школа "Островецкая"
</t>
  </si>
  <si>
    <t>Спортивная подготовка по олимпийским видам спорта, Каратэ, тренировочный  этап (спортивной специализации)</t>
  </si>
  <si>
    <t>Спортивная подготовка по олимпийским видам спорта, Художественная гимнастика, тренировочный  этап (спортивной специализации)</t>
  </si>
  <si>
    <r>
      <t>Приложение 
к постановлению Администрации
Раменского городского округа
от _</t>
    </r>
    <r>
      <rPr>
        <u/>
        <sz val="12"/>
        <color theme="1"/>
        <rFont val="Times New Roman"/>
        <family val="1"/>
        <charset val="204"/>
      </rPr>
      <t>16.11.2021</t>
    </r>
    <r>
      <rPr>
        <sz val="12"/>
        <color theme="1"/>
        <rFont val="Times New Roman"/>
        <family val="1"/>
        <charset val="204"/>
      </rPr>
      <t>__    №</t>
    </r>
    <r>
      <rPr>
        <u/>
        <sz val="12"/>
        <color theme="1"/>
        <rFont val="Times New Roman"/>
        <family val="1"/>
        <charset val="204"/>
      </rPr>
      <t xml:space="preserve"> _12420__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</si>
</sst>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1" fillId="0" borderId="0" xfId="0" applyFont="1" applyBorder="1"/>
    <xf numFmtId="4" fontId="2" fillId="0" borderId="1" xfId="0" applyNumberFormat="1" applyFont="1" applyBorder="1"/>
    <xf numFmtId="0" fontId="0" fillId="0" borderId="1" xfId="0" applyBorder="1"/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Normal="100" zoomScaleSheetLayoutView="90" workbookViewId="0">
      <selection activeCell="Q1" sqref="Q1"/>
    </sheetView>
  </sheetViews>
  <sheetFormatPr defaultRowHeight="15" x14ac:dyDescent="0.25"/>
  <cols>
    <col min="1" max="1" width="4" customWidth="1"/>
    <col min="2" max="2" width="15.140625" customWidth="1"/>
    <col min="3" max="4" width="10.28515625" customWidth="1"/>
    <col min="5" max="5" width="13.7109375" customWidth="1"/>
    <col min="6" max="6" width="14.7109375" customWidth="1"/>
    <col min="7" max="7" width="12.42578125" customWidth="1"/>
    <col min="8" max="8" width="10.7109375" customWidth="1"/>
    <col min="9" max="9" width="16.5703125" customWidth="1"/>
    <col min="10" max="10" width="9.7109375" customWidth="1"/>
    <col min="11" max="11" width="10.85546875" customWidth="1"/>
    <col min="12" max="12" width="13.42578125" customWidth="1"/>
    <col min="13" max="14" width="14" customWidth="1"/>
    <col min="15" max="15" width="17" customWidth="1"/>
    <col min="16" max="16" width="19" customWidth="1"/>
    <col min="17" max="17" width="9.5703125" customWidth="1"/>
  </cols>
  <sheetData>
    <row r="1" spans="1:15" ht="78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2" t="s">
        <v>40</v>
      </c>
      <c r="L1" s="22"/>
      <c r="M1" s="22"/>
      <c r="N1" s="22"/>
      <c r="O1" s="22"/>
    </row>
    <row r="2" spans="1:15" ht="34.5" customHeight="1" x14ac:dyDescent="0.2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4.75" customHeight="1" x14ac:dyDescent="0.25">
      <c r="A3" s="24" t="s">
        <v>4</v>
      </c>
      <c r="B3" s="24" t="s">
        <v>0</v>
      </c>
      <c r="C3" s="24" t="s">
        <v>16</v>
      </c>
      <c r="D3" s="24" t="s">
        <v>2</v>
      </c>
      <c r="E3" s="24" t="s">
        <v>3</v>
      </c>
      <c r="F3" s="27"/>
      <c r="G3" s="27"/>
      <c r="H3" s="24" t="s">
        <v>8</v>
      </c>
      <c r="I3" s="24"/>
      <c r="J3" s="24"/>
      <c r="K3" s="28"/>
      <c r="L3" s="28"/>
      <c r="M3" s="28"/>
      <c r="N3" s="28"/>
      <c r="O3" s="29" t="s">
        <v>17</v>
      </c>
    </row>
    <row r="4" spans="1:15" ht="144" x14ac:dyDescent="0.25">
      <c r="A4" s="25"/>
      <c r="B4" s="25"/>
      <c r="C4" s="26"/>
      <c r="D4" s="25"/>
      <c r="E4" s="17" t="s">
        <v>5</v>
      </c>
      <c r="F4" s="17" t="s">
        <v>6</v>
      </c>
      <c r="G4" s="17" t="s">
        <v>7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17" t="s">
        <v>15</v>
      </c>
      <c r="O4" s="30"/>
    </row>
    <row r="5" spans="1:15" ht="89.25" x14ac:dyDescent="0.25">
      <c r="A5" s="21">
        <v>1</v>
      </c>
      <c r="B5" s="12" t="s">
        <v>18</v>
      </c>
      <c r="C5" s="9">
        <v>17</v>
      </c>
      <c r="D5" s="14">
        <f t="shared" ref="D5:D22" si="0">O5/C5</f>
        <v>38501.659999999996</v>
      </c>
      <c r="E5" s="13">
        <v>252592.77</v>
      </c>
      <c r="F5" s="13"/>
      <c r="G5" s="13">
        <v>165547.20000000001</v>
      </c>
      <c r="H5" s="13"/>
      <c r="I5" s="13">
        <v>221168.81</v>
      </c>
      <c r="J5" s="13"/>
      <c r="K5" s="15"/>
      <c r="L5" s="16"/>
      <c r="M5" s="10"/>
      <c r="N5" s="10">
        <v>15219.44</v>
      </c>
      <c r="O5" s="5">
        <v>654528.22</v>
      </c>
    </row>
    <row r="6" spans="1:15" ht="89.25" x14ac:dyDescent="0.25">
      <c r="A6" s="21">
        <v>2</v>
      </c>
      <c r="B6" s="12" t="s">
        <v>19</v>
      </c>
      <c r="C6" s="9">
        <v>30</v>
      </c>
      <c r="D6" s="14">
        <f t="shared" si="0"/>
        <v>49417.82</v>
      </c>
      <c r="E6" s="13">
        <v>664339.35</v>
      </c>
      <c r="F6" s="13"/>
      <c r="G6" s="13">
        <v>401039.45</v>
      </c>
      <c r="H6" s="13"/>
      <c r="I6" s="13">
        <v>390297.89</v>
      </c>
      <c r="J6" s="13"/>
      <c r="K6" s="15"/>
      <c r="L6" s="16"/>
      <c r="M6" s="10"/>
      <c r="N6" s="10">
        <v>26857.91</v>
      </c>
      <c r="O6" s="5">
        <v>1482534.6</v>
      </c>
    </row>
    <row r="7" spans="1:15" ht="102" x14ac:dyDescent="0.25">
      <c r="A7" s="21">
        <v>3</v>
      </c>
      <c r="B7" s="12" t="s">
        <v>20</v>
      </c>
      <c r="C7" s="9">
        <v>19</v>
      </c>
      <c r="D7" s="14">
        <f t="shared" si="0"/>
        <v>36444.18</v>
      </c>
      <c r="E7" s="13">
        <v>295404.75</v>
      </c>
      <c r="F7" s="13"/>
      <c r="G7" s="13">
        <v>132835.91</v>
      </c>
      <c r="H7" s="13"/>
      <c r="I7" s="13">
        <v>247188.66</v>
      </c>
      <c r="J7" s="13"/>
      <c r="K7" s="15"/>
      <c r="L7" s="16"/>
      <c r="M7" s="10"/>
      <c r="N7" s="10">
        <v>17010.099999999999</v>
      </c>
      <c r="O7" s="5">
        <v>692439.42</v>
      </c>
    </row>
    <row r="8" spans="1:15" ht="89.25" x14ac:dyDescent="0.25">
      <c r="A8" s="21">
        <v>4</v>
      </c>
      <c r="B8" s="12" t="s">
        <v>21</v>
      </c>
      <c r="C8" s="9">
        <v>55</v>
      </c>
      <c r="D8" s="14">
        <f t="shared" si="0"/>
        <v>49084.75</v>
      </c>
      <c r="E8" s="13">
        <v>1122731.49</v>
      </c>
      <c r="F8" s="13"/>
      <c r="G8" s="13">
        <v>812144</v>
      </c>
      <c r="H8" s="13"/>
      <c r="I8" s="13">
        <v>715546.13</v>
      </c>
      <c r="J8" s="13"/>
      <c r="K8" s="15"/>
      <c r="L8" s="16"/>
      <c r="M8" s="10"/>
      <c r="N8" s="10">
        <v>49239.63</v>
      </c>
      <c r="O8" s="5">
        <v>2699661.25</v>
      </c>
    </row>
    <row r="9" spans="1:15" ht="102" x14ac:dyDescent="0.25">
      <c r="A9" s="21">
        <v>5</v>
      </c>
      <c r="B9" s="12" t="s">
        <v>22</v>
      </c>
      <c r="C9" s="9">
        <v>40</v>
      </c>
      <c r="D9" s="14">
        <f t="shared" si="0"/>
        <v>90817.049999999988</v>
      </c>
      <c r="E9" s="13">
        <v>2260394.25</v>
      </c>
      <c r="F9" s="13">
        <v>118000</v>
      </c>
      <c r="G9" s="13">
        <v>698080.05</v>
      </c>
      <c r="H9" s="13"/>
      <c r="I9" s="13">
        <v>520397.19</v>
      </c>
      <c r="J9" s="13"/>
      <c r="K9" s="15"/>
      <c r="L9" s="16"/>
      <c r="M9" s="10"/>
      <c r="N9" s="10">
        <v>35810.51</v>
      </c>
      <c r="O9" s="5">
        <f t="shared" ref="O9:O22" si="1">SUM(E9:N9)</f>
        <v>3632681.9999999995</v>
      </c>
    </row>
    <row r="10" spans="1:15" ht="89.25" x14ac:dyDescent="0.25">
      <c r="A10" s="21">
        <v>6</v>
      </c>
      <c r="B10" s="12" t="s">
        <v>23</v>
      </c>
      <c r="C10" s="9">
        <v>39</v>
      </c>
      <c r="D10" s="14">
        <f t="shared" si="0"/>
        <v>43585.119999999995</v>
      </c>
      <c r="E10" s="13">
        <v>663432.29</v>
      </c>
      <c r="F10" s="13"/>
      <c r="G10" s="13">
        <v>494084.97</v>
      </c>
      <c r="H10" s="13"/>
      <c r="I10" s="13">
        <v>507387.26</v>
      </c>
      <c r="J10" s="13"/>
      <c r="K10" s="15"/>
      <c r="L10" s="16"/>
      <c r="M10" s="10"/>
      <c r="N10" s="10">
        <v>34915.160000000003</v>
      </c>
      <c r="O10" s="5">
        <f>SUM(E10:N10)</f>
        <v>1699819.68</v>
      </c>
    </row>
    <row r="11" spans="1:15" ht="102" x14ac:dyDescent="0.25">
      <c r="A11" s="21">
        <v>7</v>
      </c>
      <c r="B11" s="12" t="s">
        <v>24</v>
      </c>
      <c r="C11" s="9">
        <v>6</v>
      </c>
      <c r="D11" s="14">
        <f t="shared" si="0"/>
        <v>83080.099166666667</v>
      </c>
      <c r="E11" s="13">
        <v>283518.13</v>
      </c>
      <c r="F11" s="13">
        <v>17700</v>
      </c>
      <c r="G11" s="13">
        <v>113831.28</v>
      </c>
      <c r="H11" s="13"/>
      <c r="I11" s="13">
        <v>78059.585000000006</v>
      </c>
      <c r="J11" s="13"/>
      <c r="K11" s="15"/>
      <c r="L11" s="16"/>
      <c r="M11" s="10"/>
      <c r="N11" s="10">
        <v>5371.6</v>
      </c>
      <c r="O11" s="5">
        <f t="shared" si="1"/>
        <v>498480.59500000003</v>
      </c>
    </row>
    <row r="12" spans="1:15" ht="102" x14ac:dyDescent="0.25">
      <c r="A12" s="21">
        <v>8</v>
      </c>
      <c r="B12" s="12" t="s">
        <v>25</v>
      </c>
      <c r="C12" s="9">
        <v>68</v>
      </c>
      <c r="D12" s="14">
        <f t="shared" si="0"/>
        <v>38670.799999999996</v>
      </c>
      <c r="E12" s="13">
        <v>1066024.3600000001</v>
      </c>
      <c r="F12" s="13"/>
      <c r="G12" s="13">
        <v>618036.55000000005</v>
      </c>
      <c r="H12" s="13"/>
      <c r="I12" s="13">
        <v>884675.22</v>
      </c>
      <c r="J12" s="13"/>
      <c r="K12" s="15"/>
      <c r="L12" s="16"/>
      <c r="M12" s="10"/>
      <c r="N12" s="10">
        <v>60878.27</v>
      </c>
      <c r="O12" s="5">
        <f t="shared" si="1"/>
        <v>2629614.4</v>
      </c>
    </row>
    <row r="13" spans="1:15" ht="114.75" x14ac:dyDescent="0.25">
      <c r="A13" s="21">
        <v>9</v>
      </c>
      <c r="B13" s="12" t="s">
        <v>26</v>
      </c>
      <c r="C13" s="9">
        <v>14</v>
      </c>
      <c r="D13" s="14">
        <f t="shared" si="0"/>
        <v>86447.37</v>
      </c>
      <c r="E13" s="13">
        <v>808623.5</v>
      </c>
      <c r="F13" s="13">
        <v>41300</v>
      </c>
      <c r="G13" s="13">
        <v>165667</v>
      </c>
      <c r="H13" s="13"/>
      <c r="I13" s="13">
        <v>182139.02</v>
      </c>
      <c r="J13" s="13"/>
      <c r="K13" s="15"/>
      <c r="L13" s="16"/>
      <c r="M13" s="10"/>
      <c r="N13" s="10">
        <v>12533.66</v>
      </c>
      <c r="O13" s="5">
        <f t="shared" si="1"/>
        <v>1210263.18</v>
      </c>
    </row>
    <row r="14" spans="1:15" ht="89.25" x14ac:dyDescent="0.25">
      <c r="A14" s="21">
        <v>10</v>
      </c>
      <c r="B14" s="12" t="s">
        <v>27</v>
      </c>
      <c r="C14" s="9">
        <v>25</v>
      </c>
      <c r="D14" s="14">
        <v>38779.980000000003</v>
      </c>
      <c r="E14" s="13">
        <v>539434.32999999996</v>
      </c>
      <c r="F14" s="13"/>
      <c r="G14" s="13">
        <v>52435.23</v>
      </c>
      <c r="H14" s="13"/>
      <c r="I14" s="13">
        <v>325248.24</v>
      </c>
      <c r="J14" s="13"/>
      <c r="K14" s="15"/>
      <c r="L14" s="16"/>
      <c r="M14" s="10"/>
      <c r="N14" s="10">
        <v>52381.7</v>
      </c>
      <c r="O14" s="5">
        <v>969499.5</v>
      </c>
    </row>
    <row r="15" spans="1:15" ht="102" x14ac:dyDescent="0.25">
      <c r="A15" s="21">
        <v>11</v>
      </c>
      <c r="B15" s="12" t="s">
        <v>28</v>
      </c>
      <c r="C15" s="9">
        <v>20</v>
      </c>
      <c r="D15" s="14">
        <f t="shared" si="0"/>
        <v>82303.22</v>
      </c>
      <c r="E15" s="13">
        <v>1066028.1399999999</v>
      </c>
      <c r="F15" s="13">
        <v>59000</v>
      </c>
      <c r="G15" s="13">
        <v>163376.75</v>
      </c>
      <c r="H15" s="13"/>
      <c r="I15" s="13">
        <v>260198.59</v>
      </c>
      <c r="J15" s="13"/>
      <c r="K15" s="15"/>
      <c r="L15" s="16"/>
      <c r="M15" s="10"/>
      <c r="N15" s="10">
        <v>97460.92</v>
      </c>
      <c r="O15" s="5">
        <f t="shared" si="1"/>
        <v>1646064.4</v>
      </c>
    </row>
    <row r="16" spans="1:15" ht="89.25" x14ac:dyDescent="0.25">
      <c r="A16" s="21">
        <v>12</v>
      </c>
      <c r="B16" s="12" t="s">
        <v>29</v>
      </c>
      <c r="C16" s="9">
        <v>13</v>
      </c>
      <c r="D16" s="14">
        <f t="shared" si="0"/>
        <v>34176.269715909089</v>
      </c>
      <c r="E16" s="13">
        <v>238835.15</v>
      </c>
      <c r="F16" s="13"/>
      <c r="G16" s="13">
        <v>9088.77</v>
      </c>
      <c r="H16" s="13"/>
      <c r="I16" s="13">
        <v>169129.08630681818</v>
      </c>
      <c r="J16" s="13"/>
      <c r="K16" s="15"/>
      <c r="L16" s="16"/>
      <c r="M16" s="10"/>
      <c r="N16" s="10">
        <v>27238.5</v>
      </c>
      <c r="O16" s="5">
        <f t="shared" si="1"/>
        <v>444291.50630681816</v>
      </c>
    </row>
    <row r="17" spans="1:16" ht="102" x14ac:dyDescent="0.25">
      <c r="A17" s="21">
        <v>13</v>
      </c>
      <c r="B17" s="12" t="s">
        <v>30</v>
      </c>
      <c r="C17" s="9">
        <v>9</v>
      </c>
      <c r="D17" s="14">
        <v>74887.83</v>
      </c>
      <c r="E17" s="13">
        <v>398058.58</v>
      </c>
      <c r="F17" s="13">
        <v>26550</v>
      </c>
      <c r="G17" s="13">
        <v>88435.08</v>
      </c>
      <c r="H17" s="13"/>
      <c r="I17" s="13">
        <v>117089.37</v>
      </c>
      <c r="J17" s="13"/>
      <c r="K17" s="15"/>
      <c r="L17" s="16"/>
      <c r="M17" s="10"/>
      <c r="N17" s="10">
        <v>43857.440000000002</v>
      </c>
      <c r="O17" s="5">
        <f t="shared" si="1"/>
        <v>673990.47</v>
      </c>
    </row>
    <row r="18" spans="1:16" ht="89.25" x14ac:dyDescent="0.25">
      <c r="A18" s="21">
        <v>14</v>
      </c>
      <c r="B18" s="12" t="s">
        <v>31</v>
      </c>
      <c r="C18" s="9">
        <v>33</v>
      </c>
      <c r="D18" s="14">
        <f t="shared" si="0"/>
        <v>48007.319999999992</v>
      </c>
      <c r="E18" s="13">
        <v>1062698.47</v>
      </c>
      <c r="F18" s="13"/>
      <c r="G18" s="13">
        <v>23071.5</v>
      </c>
      <c r="H18" s="13"/>
      <c r="I18" s="13">
        <v>429327.68</v>
      </c>
      <c r="J18" s="13"/>
      <c r="K18" s="15"/>
      <c r="L18" s="16"/>
      <c r="M18" s="10"/>
      <c r="N18" s="10">
        <v>69143.91</v>
      </c>
      <c r="O18" s="5">
        <f t="shared" si="1"/>
        <v>1584241.5599999998</v>
      </c>
    </row>
    <row r="19" spans="1:16" ht="102" x14ac:dyDescent="0.25">
      <c r="A19" s="21">
        <v>15</v>
      </c>
      <c r="B19" s="12" t="s">
        <v>35</v>
      </c>
      <c r="C19" s="9">
        <v>25</v>
      </c>
      <c r="D19" s="14">
        <f t="shared" si="0"/>
        <v>82302.97</v>
      </c>
      <c r="E19" s="13">
        <v>1345029.05</v>
      </c>
      <c r="F19" s="13">
        <v>73750</v>
      </c>
      <c r="G19" s="13">
        <v>191720.94</v>
      </c>
      <c r="H19" s="13"/>
      <c r="I19" s="13">
        <v>325248.24</v>
      </c>
      <c r="J19" s="13"/>
      <c r="K19" s="15"/>
      <c r="L19" s="16"/>
      <c r="M19" s="10"/>
      <c r="N19" s="10">
        <v>121826.02</v>
      </c>
      <c r="O19" s="5">
        <f t="shared" si="1"/>
        <v>2057574.25</v>
      </c>
    </row>
    <row r="20" spans="1:16" ht="89.25" x14ac:dyDescent="0.25">
      <c r="A20" s="21">
        <v>16</v>
      </c>
      <c r="B20" s="12" t="s">
        <v>32</v>
      </c>
      <c r="C20" s="9">
        <v>30</v>
      </c>
      <c r="D20" s="14">
        <f t="shared" si="0"/>
        <v>35546.019999999997</v>
      </c>
      <c r="E20" s="13">
        <v>544354.24</v>
      </c>
      <c r="F20" s="13"/>
      <c r="G20" s="13">
        <v>104870.45</v>
      </c>
      <c r="H20" s="13"/>
      <c r="I20" s="13">
        <v>390297.89</v>
      </c>
      <c r="J20" s="13"/>
      <c r="K20" s="15"/>
      <c r="L20" s="16"/>
      <c r="M20" s="10"/>
      <c r="N20" s="10">
        <v>26858.02</v>
      </c>
      <c r="O20" s="5">
        <f t="shared" si="1"/>
        <v>1066380.5999999999</v>
      </c>
    </row>
    <row r="21" spans="1:16" ht="102" x14ac:dyDescent="0.25">
      <c r="A21" s="21">
        <v>17</v>
      </c>
      <c r="B21" s="12" t="s">
        <v>36</v>
      </c>
      <c r="C21" s="9">
        <v>12</v>
      </c>
      <c r="D21" s="14">
        <f t="shared" si="0"/>
        <v>67644.12999999999</v>
      </c>
      <c r="E21" s="13">
        <v>504661.89</v>
      </c>
      <c r="F21" s="13">
        <v>35400</v>
      </c>
      <c r="G21" s="13">
        <v>104805.32</v>
      </c>
      <c r="H21" s="13"/>
      <c r="I21" s="13">
        <v>156119.16</v>
      </c>
      <c r="J21" s="13"/>
      <c r="K21" s="15"/>
      <c r="L21" s="16"/>
      <c r="M21" s="10"/>
      <c r="N21" s="10">
        <v>10743.19</v>
      </c>
      <c r="O21" s="5">
        <f t="shared" si="1"/>
        <v>811729.55999999994</v>
      </c>
    </row>
    <row r="22" spans="1:16" ht="96.75" customHeight="1" x14ac:dyDescent="0.25">
      <c r="A22" s="21">
        <v>18</v>
      </c>
      <c r="B22" s="20" t="s">
        <v>33</v>
      </c>
      <c r="C22" s="9">
        <v>73</v>
      </c>
      <c r="D22" s="14">
        <f t="shared" si="0"/>
        <v>28132.619999999995</v>
      </c>
      <c r="E22" s="13">
        <v>687564.11</v>
      </c>
      <c r="F22" s="13"/>
      <c r="G22" s="13">
        <v>510369.55</v>
      </c>
      <c r="H22" s="13"/>
      <c r="I22" s="13">
        <v>790393.58</v>
      </c>
      <c r="J22" s="13"/>
      <c r="K22" s="15"/>
      <c r="L22" s="16"/>
      <c r="M22" s="10"/>
      <c r="N22" s="10">
        <v>65354.02</v>
      </c>
      <c r="O22" s="5">
        <f t="shared" si="1"/>
        <v>2053681.2599999998</v>
      </c>
    </row>
    <row r="23" spans="1:16" x14ac:dyDescent="0.25">
      <c r="A23" s="4"/>
      <c r="B23" s="7" t="s">
        <v>1</v>
      </c>
      <c r="C23" s="8">
        <f>SUM(C5:C22)</f>
        <v>528</v>
      </c>
      <c r="D23" s="3"/>
      <c r="E23" s="11">
        <f t="shared" ref="E23:L23" si="2">SUM(E5:E22)</f>
        <v>13803724.850000003</v>
      </c>
      <c r="F23" s="11">
        <f t="shared" si="2"/>
        <v>371700</v>
      </c>
      <c r="G23" s="11">
        <f>SUM(G5:G22)</f>
        <v>4849440</v>
      </c>
      <c r="H23" s="11">
        <f t="shared" si="2"/>
        <v>0</v>
      </c>
      <c r="I23" s="11">
        <f t="shared" si="2"/>
        <v>6709911.6013068175</v>
      </c>
      <c r="J23" s="11">
        <f t="shared" si="2"/>
        <v>0</v>
      </c>
      <c r="K23" s="11">
        <f t="shared" si="2"/>
        <v>0</v>
      </c>
      <c r="L23" s="11">
        <f t="shared" si="2"/>
        <v>0</v>
      </c>
      <c r="M23" s="11"/>
      <c r="N23" s="11">
        <f>SUM(N5:N22)</f>
        <v>772700</v>
      </c>
      <c r="O23" s="6">
        <f>N23+L23+K23+J23+I23+H23+G23+F23+E23</f>
        <v>26507476.45130682</v>
      </c>
      <c r="P23" s="18"/>
    </row>
    <row r="24" spans="1:16" x14ac:dyDescent="0.25">
      <c r="H24" s="1"/>
      <c r="K24" s="1"/>
    </row>
    <row r="25" spans="1:16" x14ac:dyDescent="0.25">
      <c r="E25" s="1"/>
      <c r="F25" s="1"/>
      <c r="H25" s="1"/>
      <c r="I25" s="1"/>
      <c r="J25" s="1"/>
      <c r="L25" s="1"/>
      <c r="M25" s="1"/>
      <c r="N25" s="1"/>
    </row>
    <row r="27" spans="1:16" x14ac:dyDescent="0.25">
      <c r="E27" s="1"/>
      <c r="L27" s="1"/>
    </row>
    <row r="28" spans="1:16" x14ac:dyDescent="0.25">
      <c r="H28" s="1"/>
      <c r="L28" s="1"/>
    </row>
  </sheetData>
  <mergeCells count="9">
    <mergeCell ref="K1:O1"/>
    <mergeCell ref="A2:O2"/>
    <mergeCell ref="A3:A4"/>
    <mergeCell ref="B3:B4"/>
    <mergeCell ref="C3:C4"/>
    <mergeCell ref="D3:D4"/>
    <mergeCell ref="E3:G3"/>
    <mergeCell ref="H3:N3"/>
    <mergeCell ref="O3:O4"/>
  </mergeCells>
  <pageMargins left="0.70866141732283472" right="0.70866141732283472" top="0.7480314960629921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zoomScaleSheetLayoutView="90" workbookViewId="0">
      <selection activeCell="G42" sqref="G42"/>
    </sheetView>
  </sheetViews>
  <sheetFormatPr defaultRowHeight="15" x14ac:dyDescent="0.25"/>
  <cols>
    <col min="1" max="1" width="4" customWidth="1"/>
    <col min="2" max="2" width="15.140625" customWidth="1"/>
    <col min="3" max="4" width="10.28515625" customWidth="1"/>
    <col min="5" max="5" width="13.7109375" customWidth="1"/>
    <col min="6" max="6" width="14.7109375" customWidth="1"/>
    <col min="7" max="7" width="12.42578125" customWidth="1"/>
    <col min="8" max="8" width="10.7109375" customWidth="1"/>
    <col min="9" max="9" width="16.5703125" customWidth="1"/>
    <col min="10" max="10" width="9.7109375" customWidth="1"/>
    <col min="11" max="11" width="10.85546875" customWidth="1"/>
    <col min="12" max="12" width="13.42578125" customWidth="1"/>
    <col min="13" max="14" width="14" customWidth="1"/>
    <col min="15" max="15" width="17" customWidth="1"/>
    <col min="16" max="16" width="19" customWidth="1"/>
    <col min="17" max="17" width="9.5703125" customWidth="1"/>
  </cols>
  <sheetData>
    <row r="1" spans="1:15" ht="9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2"/>
      <c r="L1" s="22"/>
      <c r="M1" s="22"/>
      <c r="N1" s="22"/>
      <c r="O1" s="22"/>
    </row>
    <row r="2" spans="1:15" ht="46.5" customHeight="1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4.75" customHeight="1" x14ac:dyDescent="0.25">
      <c r="A3" s="24" t="s">
        <v>4</v>
      </c>
      <c r="B3" s="24" t="s">
        <v>0</v>
      </c>
      <c r="C3" s="24" t="s">
        <v>16</v>
      </c>
      <c r="D3" s="24" t="s">
        <v>2</v>
      </c>
      <c r="E3" s="24" t="s">
        <v>3</v>
      </c>
      <c r="F3" s="27"/>
      <c r="G3" s="27"/>
      <c r="H3" s="24" t="s">
        <v>8</v>
      </c>
      <c r="I3" s="24"/>
      <c r="J3" s="24"/>
      <c r="K3" s="28"/>
      <c r="L3" s="28"/>
      <c r="M3" s="28"/>
      <c r="N3" s="28"/>
      <c r="O3" s="29" t="s">
        <v>17</v>
      </c>
    </row>
    <row r="4" spans="1:15" ht="144" x14ac:dyDescent="0.25">
      <c r="A4" s="25"/>
      <c r="B4" s="25"/>
      <c r="C4" s="26"/>
      <c r="D4" s="25"/>
      <c r="E4" s="19" t="s">
        <v>5</v>
      </c>
      <c r="F4" s="19" t="s">
        <v>6</v>
      </c>
      <c r="G4" s="19" t="s">
        <v>7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30"/>
    </row>
    <row r="5" spans="1:15" ht="89.25" x14ac:dyDescent="0.25">
      <c r="A5" s="21">
        <v>1</v>
      </c>
      <c r="B5" s="12" t="s">
        <v>18</v>
      </c>
      <c r="C5" s="9">
        <v>17</v>
      </c>
      <c r="D5" s="14">
        <f t="shared" ref="D5:D22" si="0">O5/C5</f>
        <v>37392.730000000003</v>
      </c>
      <c r="E5" s="13">
        <f>252592.77*97.119769/100</f>
        <v>245317.51473470128</v>
      </c>
      <c r="F5" s="13"/>
      <c r="G5" s="13">
        <f>165547.2*97.119769/100</f>
        <v>160779.05822596801</v>
      </c>
      <c r="H5" s="13"/>
      <c r="I5" s="13">
        <f>221168.81*97.119769/100</f>
        <v>214798.63737204892</v>
      </c>
      <c r="J5" s="13"/>
      <c r="K5" s="15"/>
      <c r="L5" s="16"/>
      <c r="M5" s="10"/>
      <c r="N5" s="10">
        <v>14781.2</v>
      </c>
      <c r="O5" s="5">
        <v>635676.41</v>
      </c>
    </row>
    <row r="6" spans="1:15" ht="89.25" x14ac:dyDescent="0.25">
      <c r="A6" s="21">
        <v>2</v>
      </c>
      <c r="B6" s="12" t="s">
        <v>19</v>
      </c>
      <c r="C6" s="9">
        <v>30</v>
      </c>
      <c r="D6" s="14">
        <f t="shared" si="0"/>
        <v>47994.47</v>
      </c>
      <c r="E6" s="13">
        <f>664339.35*97.119769/100</f>
        <v>645204.84209610149</v>
      </c>
      <c r="F6" s="13"/>
      <c r="G6" s="13">
        <f>401039.45*97.119769/100</f>
        <v>389488.58743887051</v>
      </c>
      <c r="H6" s="13"/>
      <c r="I6" s="13">
        <f>390297.89*97.119769/100</f>
        <v>379056.40917987411</v>
      </c>
      <c r="J6" s="13"/>
      <c r="K6" s="15"/>
      <c r="L6" s="16"/>
      <c r="M6" s="10"/>
      <c r="N6" s="10">
        <v>26084.26</v>
      </c>
      <c r="O6" s="5">
        <v>1439834.1</v>
      </c>
    </row>
    <row r="7" spans="1:15" ht="102" x14ac:dyDescent="0.25">
      <c r="A7" s="21">
        <v>3</v>
      </c>
      <c r="B7" s="12" t="s">
        <v>20</v>
      </c>
      <c r="C7" s="9">
        <v>19</v>
      </c>
      <c r="D7" s="14">
        <f t="shared" si="0"/>
        <v>35394.499754856362</v>
      </c>
      <c r="E7" s="13">
        <f>295404.75*97.119769/100</f>
        <v>286896.41081502748</v>
      </c>
      <c r="F7" s="13"/>
      <c r="G7" s="13">
        <f>132835.91*97.119769/100</f>
        <v>129009.92894104793</v>
      </c>
      <c r="H7" s="13"/>
      <c r="I7" s="13">
        <f>247188.66*97.119769/100</f>
        <v>240069.05558619541</v>
      </c>
      <c r="J7" s="13"/>
      <c r="K7" s="15"/>
      <c r="L7" s="16"/>
      <c r="M7" s="10"/>
      <c r="N7" s="10">
        <v>16520.099999999999</v>
      </c>
      <c r="O7" s="5">
        <f>SUM(E7:N7)</f>
        <v>672495.49534227082</v>
      </c>
    </row>
    <row r="8" spans="1:15" ht="89.25" x14ac:dyDescent="0.25">
      <c r="A8" s="21">
        <v>4</v>
      </c>
      <c r="B8" s="12" t="s">
        <v>21</v>
      </c>
      <c r="C8" s="9">
        <v>55</v>
      </c>
      <c r="D8" s="14">
        <f t="shared" si="0"/>
        <v>47670.990000000005</v>
      </c>
      <c r="E8" s="13">
        <f>1122731.49*97.119769/100</f>
        <v>1090394.229578258</v>
      </c>
      <c r="F8" s="13"/>
      <c r="G8" s="13">
        <f>812144*97.119769/100</f>
        <v>788752.3767473601</v>
      </c>
      <c r="H8" s="13"/>
      <c r="I8" s="13">
        <f>715546.13*97.119769/100</f>
        <v>694936.74854443967</v>
      </c>
      <c r="J8" s="13"/>
      <c r="K8" s="15"/>
      <c r="L8" s="16"/>
      <c r="M8" s="10"/>
      <c r="N8" s="10">
        <v>47821.1</v>
      </c>
      <c r="O8" s="5">
        <v>2621904.4500000002</v>
      </c>
    </row>
    <row r="9" spans="1:15" ht="102" x14ac:dyDescent="0.25">
      <c r="A9" s="21">
        <v>5</v>
      </c>
      <c r="B9" s="12" t="s">
        <v>22</v>
      </c>
      <c r="C9" s="9">
        <v>40</v>
      </c>
      <c r="D9" s="14">
        <f t="shared" si="0"/>
        <v>88201.310057871466</v>
      </c>
      <c r="E9" s="13">
        <f>2260394.25*97.119769/100</f>
        <v>2195289.6740892828</v>
      </c>
      <c r="F9" s="13">
        <f>118000*97.119769/100</f>
        <v>114601.32742</v>
      </c>
      <c r="G9" s="13">
        <f>698080.05*97.119769/100</f>
        <v>677973.73199508456</v>
      </c>
      <c r="H9" s="13"/>
      <c r="I9" s="13">
        <f>520397.19*97.119769/100</f>
        <v>505408.54881049111</v>
      </c>
      <c r="J9" s="13"/>
      <c r="K9" s="15"/>
      <c r="L9" s="16"/>
      <c r="M9" s="10"/>
      <c r="N9" s="10">
        <v>34779.120000000003</v>
      </c>
      <c r="O9" s="5">
        <f t="shared" ref="O9:O22" si="1">SUM(E9:N9)</f>
        <v>3528052.4023148585</v>
      </c>
    </row>
    <row r="10" spans="1:15" ht="89.25" x14ac:dyDescent="0.25">
      <c r="A10" s="21">
        <v>6</v>
      </c>
      <c r="B10" s="12" t="s">
        <v>23</v>
      </c>
      <c r="C10" s="9">
        <v>39</v>
      </c>
      <c r="D10" s="14">
        <f t="shared" si="0"/>
        <v>42329.750099860481</v>
      </c>
      <c r="E10" s="13">
        <f>663432.29*97.119769/100</f>
        <v>644323.90751941013</v>
      </c>
      <c r="F10" s="13"/>
      <c r="G10" s="13">
        <f>494084.97*97.119769/100</f>
        <v>479854.18152771925</v>
      </c>
      <c r="H10" s="13"/>
      <c r="I10" s="13">
        <f>507387.26*97.119769/100</f>
        <v>492773.33484742948</v>
      </c>
      <c r="J10" s="13"/>
      <c r="K10" s="15"/>
      <c r="L10" s="16"/>
      <c r="M10" s="10"/>
      <c r="N10" s="10">
        <v>33908.83</v>
      </c>
      <c r="O10" s="5">
        <f t="shared" si="1"/>
        <v>1650860.2538945589</v>
      </c>
    </row>
    <row r="11" spans="1:15" ht="102" x14ac:dyDescent="0.25">
      <c r="A11" s="21">
        <v>7</v>
      </c>
      <c r="B11" s="12" t="s">
        <v>38</v>
      </c>
      <c r="C11" s="9">
        <v>6</v>
      </c>
      <c r="D11" s="14">
        <f t="shared" si="0"/>
        <v>80687.199477036935</v>
      </c>
      <c r="E11" s="13">
        <f>283518.13*97.119769/100</f>
        <v>275352.15292911971</v>
      </c>
      <c r="F11" s="13">
        <f>17700*97.119769/100</f>
        <v>17190.199112999999</v>
      </c>
      <c r="G11" s="13">
        <f>113831.28*97.119769/100</f>
        <v>110552.67618574321</v>
      </c>
      <c r="H11" s="13"/>
      <c r="I11" s="13">
        <f>78059.585*97.119769/100</f>
        <v>75811.288634358658</v>
      </c>
      <c r="J11" s="13"/>
      <c r="K11" s="15"/>
      <c r="L11" s="16"/>
      <c r="M11" s="10"/>
      <c r="N11" s="10">
        <v>5216.88</v>
      </c>
      <c r="O11" s="5">
        <f t="shared" si="1"/>
        <v>484123.19686222158</v>
      </c>
    </row>
    <row r="12" spans="1:15" ht="102" x14ac:dyDescent="0.25">
      <c r="A12" s="21">
        <v>8</v>
      </c>
      <c r="B12" s="12" t="s">
        <v>25</v>
      </c>
      <c r="C12" s="9">
        <v>68</v>
      </c>
      <c r="D12" s="14">
        <f t="shared" si="0"/>
        <v>37556.989936405007</v>
      </c>
      <c r="E12" s="13">
        <f>1066024.36*97.119769/100</f>
        <v>1035320.3959157285</v>
      </c>
      <c r="F12" s="13"/>
      <c r="G12" s="13">
        <f>618036.55*97.119769/100</f>
        <v>600235.66969556955</v>
      </c>
      <c r="H12" s="13"/>
      <c r="I12" s="13">
        <f>884675.22*97.119769/100</f>
        <v>859194.53006424184</v>
      </c>
      <c r="J12" s="13"/>
      <c r="K12" s="15"/>
      <c r="L12" s="16"/>
      <c r="M12" s="10"/>
      <c r="N12" s="10">
        <v>59124.72</v>
      </c>
      <c r="O12" s="5">
        <f t="shared" si="1"/>
        <v>2553875.3156755404</v>
      </c>
    </row>
    <row r="13" spans="1:15" ht="114.75" x14ac:dyDescent="0.25">
      <c r="A13" s="21">
        <v>9</v>
      </c>
      <c r="B13" s="12" t="s">
        <v>39</v>
      </c>
      <c r="C13" s="9">
        <v>14</v>
      </c>
      <c r="D13" s="14">
        <f t="shared" si="0"/>
        <v>83957.490219200641</v>
      </c>
      <c r="E13" s="13">
        <f>808623.5*97.119769/100</f>
        <v>785333.27527971508</v>
      </c>
      <c r="F13" s="13">
        <f>41300*97.119769/100</f>
        <v>40110.464596999998</v>
      </c>
      <c r="G13" s="13">
        <f>165667*97.119769/100</f>
        <v>160895.40770923003</v>
      </c>
      <c r="H13" s="13"/>
      <c r="I13" s="13">
        <f>182139.02*97.119769/100</f>
        <v>176892.99548286377</v>
      </c>
      <c r="J13" s="13"/>
      <c r="K13" s="15"/>
      <c r="L13" s="16"/>
      <c r="M13" s="10"/>
      <c r="N13" s="10">
        <v>12172.72</v>
      </c>
      <c r="O13" s="5">
        <f t="shared" si="1"/>
        <v>1175404.863068809</v>
      </c>
    </row>
    <row r="14" spans="1:15" ht="89.25" x14ac:dyDescent="0.25">
      <c r="A14" s="21">
        <v>10</v>
      </c>
      <c r="B14" s="12" t="s">
        <v>27</v>
      </c>
      <c r="C14" s="9">
        <v>25</v>
      </c>
      <c r="D14" s="14">
        <v>37663.019999999997</v>
      </c>
      <c r="E14" s="13">
        <f>539434.33*97.119769/100</f>
        <v>523897.37520269764</v>
      </c>
      <c r="F14" s="13"/>
      <c r="G14" s="13">
        <f>52435.23*97.119769/100</f>
        <v>50924.974250618703</v>
      </c>
      <c r="H14" s="13"/>
      <c r="I14" s="13">
        <f>325248.24*97.119769/100</f>
        <v>315880.33936456562</v>
      </c>
      <c r="J14" s="13"/>
      <c r="K14" s="15"/>
      <c r="L14" s="16"/>
      <c r="M14" s="10"/>
      <c r="N14" s="10">
        <v>50872.81</v>
      </c>
      <c r="O14" s="5">
        <f t="shared" si="1"/>
        <v>941575.49881788203</v>
      </c>
    </row>
    <row r="15" spans="1:15" ht="102" x14ac:dyDescent="0.25">
      <c r="A15" s="21">
        <v>11</v>
      </c>
      <c r="B15" s="12" t="s">
        <v>28</v>
      </c>
      <c r="C15" s="9">
        <v>20</v>
      </c>
      <c r="D15" s="14">
        <f t="shared" si="0"/>
        <v>79932.690125098059</v>
      </c>
      <c r="E15" s="13">
        <f>1066028.14*97.119769/100</f>
        <v>1035324.0670429966</v>
      </c>
      <c r="F15" s="13">
        <f>59000*97.119769/100</f>
        <v>57300.663710000001</v>
      </c>
      <c r="G15" s="13">
        <f>163376.75*97.119769/100</f>
        <v>158671.12219970752</v>
      </c>
      <c r="H15" s="13"/>
      <c r="I15" s="13">
        <f>260198.59*97.119769/100</f>
        <v>252704.26954925712</v>
      </c>
      <c r="J15" s="13"/>
      <c r="K15" s="15"/>
      <c r="L15" s="16"/>
      <c r="M15" s="10"/>
      <c r="N15" s="10">
        <v>94653.68</v>
      </c>
      <c r="O15" s="5">
        <f t="shared" si="1"/>
        <v>1598653.8025019611</v>
      </c>
    </row>
    <row r="16" spans="1:15" ht="89.25" x14ac:dyDescent="0.25">
      <c r="A16" s="21">
        <v>12</v>
      </c>
      <c r="B16" s="12" t="s">
        <v>29</v>
      </c>
      <c r="C16" s="9">
        <v>13</v>
      </c>
      <c r="D16" s="14">
        <f t="shared" si="0"/>
        <v>33191.909694981245</v>
      </c>
      <c r="E16" s="13">
        <f>238835.15*97.119769/100</f>
        <v>231956.14597080351</v>
      </c>
      <c r="F16" s="13"/>
      <c r="G16" s="13">
        <f>9088.77*97.119769/100</f>
        <v>8826.9924289413011</v>
      </c>
      <c r="H16" s="13"/>
      <c r="I16" s="13">
        <f>169129.086*97.119769/100</f>
        <v>164257.77763501136</v>
      </c>
      <c r="J16" s="13"/>
      <c r="K16" s="15"/>
      <c r="L16" s="16"/>
      <c r="M16" s="10"/>
      <c r="N16" s="10">
        <v>26453.91</v>
      </c>
      <c r="O16" s="5">
        <f t="shared" si="1"/>
        <v>431494.82603475614</v>
      </c>
    </row>
    <row r="17" spans="1:16" ht="102" x14ac:dyDescent="0.25">
      <c r="A17" s="21">
        <v>13</v>
      </c>
      <c r="B17" s="12" t="s">
        <v>30</v>
      </c>
      <c r="C17" s="9">
        <v>9</v>
      </c>
      <c r="D17" s="14">
        <v>72731.05</v>
      </c>
      <c r="E17" s="13">
        <f>398058.58*97.119769/100</f>
        <v>386593.57338068023</v>
      </c>
      <c r="F17" s="13">
        <f>26550*97.119769/100</f>
        <v>25785.2986695</v>
      </c>
      <c r="G17" s="13">
        <f>88435.08*97.119769/100</f>
        <v>85887.945410965214</v>
      </c>
      <c r="H17" s="13"/>
      <c r="I17" s="13">
        <f>117089.37*97.119769/100</f>
        <v>113716.92566755529</v>
      </c>
      <c r="J17" s="13"/>
      <c r="K17" s="15"/>
      <c r="L17" s="16"/>
      <c r="M17" s="10"/>
      <c r="N17" s="10">
        <v>42595.71</v>
      </c>
      <c r="O17" s="5">
        <f t="shared" si="1"/>
        <v>654579.45312870073</v>
      </c>
    </row>
    <row r="18" spans="1:16" ht="89.25" x14ac:dyDescent="0.25">
      <c r="A18" s="21">
        <v>14</v>
      </c>
      <c r="B18" s="12" t="s">
        <v>31</v>
      </c>
      <c r="C18" s="9">
        <v>33</v>
      </c>
      <c r="D18" s="14">
        <f t="shared" si="0"/>
        <v>46624.58993346752</v>
      </c>
      <c r="E18" s="13">
        <f>1062698.47*97.119769/100</f>
        <v>1032090.2992305342</v>
      </c>
      <c r="F18" s="13"/>
      <c r="G18" s="13">
        <f>23071.5*97.119769/100</f>
        <v>22406.987504835004</v>
      </c>
      <c r="H18" s="13"/>
      <c r="I18" s="13">
        <f>429327.68*97.119769/100</f>
        <v>416962.05106905923</v>
      </c>
      <c r="J18" s="13"/>
      <c r="K18" s="15"/>
      <c r="L18" s="16"/>
      <c r="M18" s="10"/>
      <c r="N18" s="10">
        <v>67152.13</v>
      </c>
      <c r="O18" s="5">
        <f t="shared" si="1"/>
        <v>1538611.4678044282</v>
      </c>
    </row>
    <row r="19" spans="1:16" ht="102" x14ac:dyDescent="0.25">
      <c r="A19" s="21">
        <v>15</v>
      </c>
      <c r="B19" s="12" t="s">
        <v>35</v>
      </c>
      <c r="C19" s="9">
        <v>25</v>
      </c>
      <c r="D19" s="14">
        <f t="shared" si="0"/>
        <v>79932.459975903563</v>
      </c>
      <c r="E19" s="13">
        <f>1345029.05*97.119769/100</f>
        <v>1306289.1063428945</v>
      </c>
      <c r="F19" s="13">
        <f>73750*97.119769/100</f>
        <v>71625.829637500006</v>
      </c>
      <c r="G19" s="13">
        <f>191720.94*97.119769/100</f>
        <v>186198.93405262861</v>
      </c>
      <c r="H19" s="13"/>
      <c r="I19" s="13">
        <f>325248.24*97.119769/100</f>
        <v>315880.33936456562</v>
      </c>
      <c r="J19" s="13"/>
      <c r="K19" s="15"/>
      <c r="L19" s="16"/>
      <c r="M19" s="10"/>
      <c r="N19" s="10">
        <v>118317.29</v>
      </c>
      <c r="O19" s="5">
        <f t="shared" si="1"/>
        <v>1998311.4993975889</v>
      </c>
    </row>
    <row r="20" spans="1:16" ht="89.25" x14ac:dyDescent="0.25">
      <c r="A20" s="21">
        <v>16</v>
      </c>
      <c r="B20" s="12" t="s">
        <v>32</v>
      </c>
      <c r="C20" s="9">
        <v>30</v>
      </c>
      <c r="D20" s="14">
        <f t="shared" si="0"/>
        <v>34522.209946628005</v>
      </c>
      <c r="E20" s="13">
        <f>544354.24*97.119769/100</f>
        <v>528675.58042970556</v>
      </c>
      <c r="F20" s="13"/>
      <c r="G20" s="13">
        <f>104870.45*97.119769/100</f>
        <v>101849.9387892605</v>
      </c>
      <c r="H20" s="13"/>
      <c r="I20" s="13">
        <f>390297.89*97.119769/100</f>
        <v>379056.40917987411</v>
      </c>
      <c r="J20" s="13"/>
      <c r="K20" s="15"/>
      <c r="L20" s="16"/>
      <c r="M20" s="10"/>
      <c r="N20" s="10">
        <v>26084.37</v>
      </c>
      <c r="O20" s="5">
        <f t="shared" si="1"/>
        <v>1035666.2983988401</v>
      </c>
    </row>
    <row r="21" spans="1:16" ht="102" x14ac:dyDescent="0.25">
      <c r="A21" s="21">
        <v>17</v>
      </c>
      <c r="B21" s="12" t="s">
        <v>36</v>
      </c>
      <c r="C21" s="9">
        <v>12</v>
      </c>
      <c r="D21" s="14">
        <f t="shared" si="0"/>
        <v>65695.820188790443</v>
      </c>
      <c r="E21" s="13">
        <f>504661.89*97.119769/100</f>
        <v>490126.46179903409</v>
      </c>
      <c r="F21" s="13">
        <f>35400*97.119769/100</f>
        <v>34380.398225999998</v>
      </c>
      <c r="G21" s="13">
        <f>104805.32*97.119769/100</f>
        <v>101786.68468371082</v>
      </c>
      <c r="H21" s="13"/>
      <c r="I21" s="13">
        <f>156119.16*97.119769/100</f>
        <v>151622.56755674043</v>
      </c>
      <c r="J21" s="13"/>
      <c r="K21" s="15"/>
      <c r="L21" s="16"/>
      <c r="M21" s="10"/>
      <c r="N21" s="10">
        <v>10433.73</v>
      </c>
      <c r="O21" s="5">
        <f t="shared" si="1"/>
        <v>788349.84226548532</v>
      </c>
    </row>
    <row r="22" spans="1:16" ht="96.75" customHeight="1" x14ac:dyDescent="0.25">
      <c r="A22" s="21">
        <v>18</v>
      </c>
      <c r="B22" s="20" t="s">
        <v>33</v>
      </c>
      <c r="C22" s="9">
        <v>73</v>
      </c>
      <c r="D22" s="14">
        <f t="shared" si="0"/>
        <v>27322.340033590081</v>
      </c>
      <c r="E22" s="13">
        <f>687564.11*97.119769/100</f>
        <v>667760.67535890592</v>
      </c>
      <c r="F22" s="13"/>
      <c r="G22" s="13">
        <f>510369.55*97.119769/100</f>
        <v>495669.72800633952</v>
      </c>
      <c r="H22" s="13"/>
      <c r="I22" s="13">
        <f>790393.58*97.119769/100</f>
        <v>767628.41908683022</v>
      </c>
      <c r="J22" s="13"/>
      <c r="K22" s="15"/>
      <c r="L22" s="16"/>
      <c r="M22" s="10"/>
      <c r="N22" s="10">
        <v>63472</v>
      </c>
      <c r="O22" s="5">
        <f t="shared" si="1"/>
        <v>1994530.8224520758</v>
      </c>
    </row>
    <row r="23" spans="1:16" x14ac:dyDescent="0.25">
      <c r="A23" s="4"/>
      <c r="B23" s="7" t="s">
        <v>1</v>
      </c>
      <c r="C23" s="8">
        <f>SUM(C5:C22)</f>
        <v>528</v>
      </c>
      <c r="D23" s="3"/>
      <c r="E23" s="11">
        <f t="shared" ref="E23:L23" si="2">SUM(E5:E22)</f>
        <v>13406145.687715599</v>
      </c>
      <c r="F23" s="11">
        <f t="shared" si="2"/>
        <v>360994.18137299997</v>
      </c>
      <c r="G23" s="11">
        <f>SUM(G5:G22)</f>
        <v>4709764.9257936003</v>
      </c>
      <c r="H23" s="11">
        <f t="shared" si="2"/>
        <v>0</v>
      </c>
      <c r="I23" s="11">
        <f t="shared" si="2"/>
        <v>6516650.6469954029</v>
      </c>
      <c r="J23" s="11">
        <f t="shared" si="2"/>
        <v>0</v>
      </c>
      <c r="K23" s="11">
        <f t="shared" si="2"/>
        <v>0</v>
      </c>
      <c r="L23" s="11">
        <f t="shared" si="2"/>
        <v>0</v>
      </c>
      <c r="M23" s="11"/>
      <c r="N23" s="11">
        <f>SUM(N5:N22)</f>
        <v>750444.55999999994</v>
      </c>
      <c r="O23" s="6">
        <f>N23+L23+K23+J23+I23+H23+G23+F23+E23</f>
        <v>25744000.001877602</v>
      </c>
      <c r="P23" s="18"/>
    </row>
    <row r="24" spans="1:16" x14ac:dyDescent="0.25">
      <c r="H24" s="1"/>
      <c r="K24" s="1"/>
    </row>
    <row r="25" spans="1:16" x14ac:dyDescent="0.25">
      <c r="E25" s="1"/>
      <c r="F25" s="1"/>
      <c r="H25" s="1"/>
      <c r="I25" s="1"/>
      <c r="J25" s="1"/>
      <c r="L25" s="1"/>
      <c r="M25" s="1"/>
      <c r="N25" s="1"/>
    </row>
    <row r="27" spans="1:16" x14ac:dyDescent="0.25">
      <c r="E27" s="1"/>
      <c r="L27" s="1"/>
    </row>
    <row r="28" spans="1:16" x14ac:dyDescent="0.25">
      <c r="H28" s="1"/>
      <c r="L28" s="1"/>
    </row>
  </sheetData>
  <mergeCells count="9">
    <mergeCell ref="K1:O1"/>
    <mergeCell ref="A2:O2"/>
    <mergeCell ref="A3:A4"/>
    <mergeCell ref="B3:B4"/>
    <mergeCell ref="C3:C4"/>
    <mergeCell ref="D3:D4"/>
    <mergeCell ref="E3:G3"/>
    <mergeCell ref="H3:N3"/>
    <mergeCell ref="O3:O4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P11U02</cp:lastModifiedBy>
  <cp:lastPrinted>2021-10-18T07:10:45Z</cp:lastPrinted>
  <dcterms:created xsi:type="dcterms:W3CDTF">2017-01-11T06:31:10Z</dcterms:created>
  <dcterms:modified xsi:type="dcterms:W3CDTF">2021-11-30T10:42:52Z</dcterms:modified>
</cp:coreProperties>
</file>